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ałącznik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<sst xmlns="http://schemas.openxmlformats.org/spreadsheetml/2006/main" count="225" uniqueCount="216">
  <si>
    <t xml:space="preserve">Załącznik Nr 1 do Uchwały Rady Gminy Kruklanki z dnia 24 czerwca 2026 r. </t>
  </si>
  <si>
    <t xml:space="preserve">Lp.</t>
  </si>
  <si>
    <t xml:space="preserve">Wyszczególnienie</t>
  </si>
  <si>
    <t xml:space="preserve">2019</t>
  </si>
  <si>
    <t xml:space="preserve">2020</t>
  </si>
  <si>
    <t xml:space="preserve">2021</t>
  </si>
  <si>
    <t xml:space="preserve">2022</t>
  </si>
  <si>
    <t xml:space="preserve">2023</t>
  </si>
  <si>
    <t xml:space="preserve">2024</t>
  </si>
  <si>
    <t xml:space="preserve">2025 3kw.</t>
  </si>
  <si>
    <t xml:space="preserve">2025 pw.</t>
  </si>
  <si>
    <t xml:space="preserve">2026</t>
  </si>
  <si>
    <t xml:space="preserve">2027</t>
  </si>
  <si>
    <t xml:space="preserve">2028</t>
  </si>
  <si>
    <t xml:space="preserve">2029</t>
  </si>
  <si>
    <t xml:space="preserve">2030</t>
  </si>
  <si>
    <t xml:space="preserve">2031</t>
  </si>
  <si>
    <t xml:space="preserve">2032</t>
  </si>
  <si>
    <t xml:space="preserve">2033</t>
  </si>
  <si>
    <t xml:space="preserve">2034</t>
  </si>
  <si>
    <t xml:space="preserve">2035</t>
  </si>
  <si>
    <t xml:space="preserve">1</t>
  </si>
  <si>
    <t xml:space="preserve">Dochody ogółem</t>
  </si>
  <si>
    <t xml:space="preserve">1.1</t>
  </si>
  <si>
    <t xml:space="preserve">Dochody bieżące, z tego:</t>
  </si>
  <si>
    <t xml:space="preserve">1.1.1</t>
  </si>
  <si>
    <t xml:space="preserve">dochody z tytułu udziału we wpływach z podatku dochodowego od osób fizycznych</t>
  </si>
  <si>
    <t xml:space="preserve">1.1.2</t>
  </si>
  <si>
    <t xml:space="preserve">dochody z tytułu udziału we wpływach z podatku dochodowego od osób prawnych</t>
  </si>
  <si>
    <t xml:space="preserve">1.1.3</t>
  </si>
  <si>
    <t xml:space="preserve">z subwencji ogólnej</t>
  </si>
  <si>
    <t xml:space="preserve">1.1.4</t>
  </si>
  <si>
    <t xml:space="preserve">z tytułu dotacji i środków przeznaczonych na cele bieżące</t>
  </si>
  <si>
    <t xml:space="preserve">1.1.5</t>
  </si>
  <si>
    <t xml:space="preserve">pozostałe dochody bieżące, w tym:</t>
  </si>
  <si>
    <t xml:space="preserve">1.1.5.1</t>
  </si>
  <si>
    <t xml:space="preserve">z podatku od nieruchomości</t>
  </si>
  <si>
    <t xml:space="preserve">1.1.x</t>
  </si>
  <si>
    <t xml:space="preserve">Inne</t>
  </si>
  <si>
    <t xml:space="preserve">1.2</t>
  </si>
  <si>
    <t xml:space="preserve">Dochody majątkowe, w tym:</t>
  </si>
  <si>
    <t xml:space="preserve">1.2.1</t>
  </si>
  <si>
    <t xml:space="preserve">ze sprzedaży majątku</t>
  </si>
  <si>
    <t xml:space="preserve">1.2.2</t>
  </si>
  <si>
    <t xml:space="preserve">z tytułu dotacji oraz środków przeznaczonych na inwestycje</t>
  </si>
  <si>
    <t xml:space="preserve">1.2.x</t>
  </si>
  <si>
    <t xml:space="preserve">2</t>
  </si>
  <si>
    <t xml:space="preserve">Wydatki ogółem</t>
  </si>
  <si>
    <t xml:space="preserve">2.1</t>
  </si>
  <si>
    <t xml:space="preserve">Wydatki bieżące, w tym:</t>
  </si>
  <si>
    <t xml:space="preserve">2.1.1</t>
  </si>
  <si>
    <t xml:space="preserve">na wynagrodzenia i składki od nich naliczane</t>
  </si>
  <si>
    <t xml:space="preserve">2.1.2</t>
  </si>
  <si>
    <t xml:space="preserve">z tytułu poręczeń i gwarancji, w tym:</t>
  </si>
  <si>
    <t xml:space="preserve">2.1.2.1</t>
  </si>
  <si>
    <t xml:space="preserve">gwarancje i poręczenia podlegające wyłączeniu z limitu spłaty zobowiązań, o którym mowa w art. 243 ustawy</t>
  </si>
  <si>
    <t xml:space="preserve">2.1.3</t>
  </si>
  <si>
    <t xml:space="preserve">wydatki na obsługę długu, w tym:</t>
  </si>
  <si>
    <t xml:space="preserve">2.1.3.x</t>
  </si>
  <si>
    <t xml:space="preserve">odsetki i dyskonto</t>
  </si>
  <si>
    <t xml:space="preserve">2.1.3.1</t>
  </si>
  <si>
    <t xml:space="preserve">odsetki i dyskonto podlegające wyłączeniu z limitu spłaty zobowiązań, o którym mowa w art. 243 ustawy, w terminie nie dłuższym niż 90 dni po zakończeniu programu, projektu lub zadania i otrzymaniu refundacji z tych środków (bez odsetek i dyskonta od zobowiązań na wkład krajowy)</t>
  </si>
  <si>
    <t xml:space="preserve">2.1.3.2</t>
  </si>
  <si>
    <t xml:space="preserve">odsetki i dyskonto podlegające wyłączeniu z limitu spłaty zobowiązań, o którym mowa w art. 243 ustawy, z tytułu zobowiązań zaciągniętych na wkład krajowy</t>
  </si>
  <si>
    <t xml:space="preserve">2.1.3.3</t>
  </si>
  <si>
    <t xml:space="preserve">pozostałe odsetki i dyskonto podlegające wyłączeniu z limitu spłaty zobowiązań, o którym mowa w art. 243 ustawy</t>
  </si>
  <si>
    <t xml:space="preserve">2.1.x</t>
  </si>
  <si>
    <t xml:space="preserve">2.2</t>
  </si>
  <si>
    <t xml:space="preserve">Wydatki majątkowe, w tym:</t>
  </si>
  <si>
    <t xml:space="preserve">2.2.1</t>
  </si>
  <si>
    <t xml:space="preserve">Inwestycje i zakupy inwestycyjne, o których mowa w art. 236 ust. 4 pkt 1 ustawy, w tym:</t>
  </si>
  <si>
    <t xml:space="preserve">2.2.1.1</t>
  </si>
  <si>
    <t xml:space="preserve">wydatki o charakterze dotacyjnym na inwestycje i zakupy inwestycyjne</t>
  </si>
  <si>
    <t xml:space="preserve">2.2.x</t>
  </si>
  <si>
    <t xml:space="preserve">3</t>
  </si>
  <si>
    <t xml:space="preserve">Wynik budżetu</t>
  </si>
  <si>
    <t xml:space="preserve">3.1</t>
  </si>
  <si>
    <t xml:space="preserve">Kwota prognozowanej nadwyżki budżetu przeznaczana na spłatę kredytów, pożyczek i wykup papierów wartościowych</t>
  </si>
  <si>
    <t xml:space="preserve">4</t>
  </si>
  <si>
    <t xml:space="preserve">Przychody budżetu</t>
  </si>
  <si>
    <t xml:space="preserve">4.1</t>
  </si>
  <si>
    <t xml:space="preserve">Kredyty, pożyczki, emisja papierów wartościowych, w tym:</t>
  </si>
  <si>
    <t xml:space="preserve">4.1.1</t>
  </si>
  <si>
    <t xml:space="preserve">na pokrycie deficytu budżetu</t>
  </si>
  <si>
    <t xml:space="preserve">4.2</t>
  </si>
  <si>
    <t xml:space="preserve">Nadwyżka budżetowa z lat ubiegłych, w tym:</t>
  </si>
  <si>
    <t xml:space="preserve">4.2.1</t>
  </si>
  <si>
    <t xml:space="preserve">4.3</t>
  </si>
  <si>
    <t xml:space="preserve">Wolne środki, o których mowa w art. 217 ust. 2 pkt 6 ustawy, w tym:</t>
  </si>
  <si>
    <t xml:space="preserve">4.3.1</t>
  </si>
  <si>
    <t xml:space="preserve">4.4</t>
  </si>
  <si>
    <t xml:space="preserve">Spłaty udzielonych pożyczek w latach ubiegłych, w tym:</t>
  </si>
  <si>
    <t xml:space="preserve">4.4.1</t>
  </si>
  <si>
    <t xml:space="preserve">4.5</t>
  </si>
  <si>
    <t xml:space="preserve">Inne przychody niezwiązane z zaciągnięciem długu, w tym:</t>
  </si>
  <si>
    <t xml:space="preserve">4.5.1</t>
  </si>
  <si>
    <t xml:space="preserve">5</t>
  </si>
  <si>
    <t xml:space="preserve">Rozchody budżetu</t>
  </si>
  <si>
    <t xml:space="preserve">5.1</t>
  </si>
  <si>
    <t xml:space="preserve">Spłaty rat kapitałowych kredytów i pożyczek oraz wykup papierów wartościowych, w tym:</t>
  </si>
  <si>
    <t xml:space="preserve">5.1.1</t>
  </si>
  <si>
    <t xml:space="preserve">łączna kwota przypadających na dany rok kwot ustawowych wyłączeń z limitu spłaty zobowiązań, w tym:</t>
  </si>
  <si>
    <t xml:space="preserve">5.1.1.1</t>
  </si>
  <si>
    <t xml:space="preserve">kwota przypadających na dany rok kwot wyłączeń określonych w art. 243 ust. 3 ustawy</t>
  </si>
  <si>
    <t xml:space="preserve">5.1.1.2</t>
  </si>
  <si>
    <t xml:space="preserve">kwota przypadających na dany rok kwot wyłączeń określonych w art. 243 ust. 3a ustawy</t>
  </si>
  <si>
    <t xml:space="preserve">5.1.1.3</t>
  </si>
  <si>
    <t xml:space="preserve">kwota wyłączeń z tytułu wcześniejszej spłaty zobowiązań, określonych w art. 243 ust. 3b ustawy, z tego:</t>
  </si>
  <si>
    <t xml:space="preserve">5.1.1.3.1</t>
  </si>
  <si>
    <t xml:space="preserve">środkami nowego zobowiązania</t>
  </si>
  <si>
    <t xml:space="preserve">5.1.1.3.2</t>
  </si>
  <si>
    <t xml:space="preserve">wolnymi środkami, o których mowa w art. 217 ust. 2 pkt 6 ustawy</t>
  </si>
  <si>
    <t xml:space="preserve">5.1.1.3.3</t>
  </si>
  <si>
    <t xml:space="preserve">innymi środkami</t>
  </si>
  <si>
    <t xml:space="preserve">5.1.1.4</t>
  </si>
  <si>
    <t xml:space="preserve">kwota przypadających na dany rok kwot pozostałych ustawowych wyłączeń z limitu spłaty zobowiązań</t>
  </si>
  <si>
    <t xml:space="preserve">5.2</t>
  </si>
  <si>
    <t xml:space="preserve">Inne rozchody, niezwiązane ze spłatą długu</t>
  </si>
  <si>
    <t xml:space="preserve">6</t>
  </si>
  <si>
    <t xml:space="preserve">Kwota długu, w tym:</t>
  </si>
  <si>
    <t xml:space="preserve">6.1</t>
  </si>
  <si>
    <t xml:space="preserve">kwota długu, którego planowana spłata dokona się z wydatków</t>
  </si>
  <si>
    <t xml:space="preserve">7</t>
  </si>
  <si>
    <t xml:space="preserve">Relacja zrównoważenia wydatków bieżących, o której mowa w art. 242 ustawy</t>
  </si>
  <si>
    <t xml:space="preserve">7.1</t>
  </si>
  <si>
    <t xml:space="preserve">Różnica między dochodami bieżącymi a wydatkami bieżącymi</t>
  </si>
  <si>
    <t xml:space="preserve">7.2</t>
  </si>
  <si>
    <t xml:space="preserve">Różnica między dochodami bieżącymi, skorygowanymi o środki, a wydatkami bieżącymi</t>
  </si>
  <si>
    <t xml:space="preserve">7.2.x</t>
  </si>
  <si>
    <t xml:space="preserve">Relacja z art. 242 ust. 1 ustawy o finansach publicznych skorygowana o planowane wydatki bieżące na realizację zadań związanych z pomocom obywatelom Ukrainy oraz organizacją Igrzysk</t>
  </si>
  <si>
    <t xml:space="preserve">8</t>
  </si>
  <si>
    <t xml:space="preserve">Wskaźnik spłaty zobowiązań</t>
  </si>
  <si>
    <t xml:space="preserve">8.1</t>
  </si>
  <si>
    <t xml:space="preserve">Relacja określona po lewej stronie nierówności we wzorze, o którym mowa w art. 243 ust. 1 ustawy (po uwzględnieniu zobowiązań związku współtworzonego przez jednostkę samorządu terytorialnego oraz po uwzględnieniu ustawowych wyłączeń przypadających na dany rok)</t>
  </si>
  <si>
    <t xml:space="preserve">8.2</t>
  </si>
  <si>
    <t xml:space="preserve">Relacja określona po prawej stronie nierówności we wzorze, o którym mowa w art. 243 ust. 1 ustawy, ustalona dla danego roku (wkaźnik jednoroczny)</t>
  </si>
  <si>
    <t xml:space="preserve">8.2.x</t>
  </si>
  <si>
    <t xml:space="preserve">Wskaźnik jednoroczny określony po prawej stronie nierówności we wzorze, o którym mowa w art. 243 ust. 1 ustawy, ustalony dla danego roku (wskaźnik jednoroczny)</t>
  </si>
  <si>
    <t xml:space="preserve">8.3</t>
  </si>
  <si>
    <t xml:space="preserve">Dopuszczalny limit spłaty zobowiązań określony po prawej stronie nierówności we wzorze, o którym mowa w art. 243 ustawy, po uwzględnieniu ustawowych wyłączeń, obliczony w oparciu o plan 3. kwartału roku poprzedzającego pierwszy rok prognozy (wskaźnik ustalony w oparciu o średnią arytmetyczną z poprzednich lat)</t>
  </si>
  <si>
    <t xml:space="preserve">8.3.1</t>
  </si>
  <si>
    <t xml:space="preserve">Dopuszczalny limit spłaty zobowiązań określony po prawej stronie nierówności we wzorze, o którym mowa w art. 243 ustawy, po uwzględnieniu ustawowych wyłączeń, obliczony w oparciu o wykonanie roku poprzedzającego pierwszy rok prognozy (wskaźnik ustalony w oparciu o średnią arytmetyczną z poprzednich lat)</t>
  </si>
  <si>
    <t xml:space="preserve">8.4</t>
  </si>
  <si>
    <t xml:space="preserve">Informacja o spełnieniu wskaźnika spłaty zobowiązań określonego w art. 243 ustawy, po uwzględnieniu zobowiązań związku współtworzonego przez jednostkę samorządu terytorialnego oraz po uwzględnieniu ustawowych wyłączeń, obliczonego w oparciu o plan 3 kwartałów roku poprzedzającego rok budżetowy</t>
  </si>
  <si>
    <t xml:space="preserve">8.4.1</t>
  </si>
  <si>
    <t xml:space="preserve">Informacja o spełnieniu wskaźnika spłaty zobowiązań określonego w art. 243 ustawy, po uwzględnieniu zobowiązań związku współtworzonego przez jednostkę samorządu terytorialnego oraz po uwzględnieniu ustawowych wyłączeń, obliczonego w oparciu o wykonanie roku poprzedzającego rok budżetowy</t>
  </si>
  <si>
    <t xml:space="preserve">8.x</t>
  </si>
  <si>
    <t xml:space="preserve">Relacja łącznej kwoty długu do dochodów ogółem, pomniejszonych o planowane kwoty dotacji i środków o podobnym charakterze oraz powiększone o przychody z tytułów określonych w art. 217 ust. 2 pkt 4-8 uofp, nieprzeznaczone na sfinansowanie deficytu budżetowego</t>
  </si>
  <si>
    <t xml:space="preserve">9</t>
  </si>
  <si>
    <t xml:space="preserve">Finansowanie programów, projektów lub zadań realizowanych z udziałem środków, o których mowa w art. 5 ust. 1 pkt 2 i 3 ustawy</t>
  </si>
  <si>
    <t xml:space="preserve">9.1</t>
  </si>
  <si>
    <t xml:space="preserve">Dochody bieżące na programy, projekty lub zadania finansowe z udziałem środków, o których mowa w art. 5 ust. 1 pkt 2 i 3 ustawy</t>
  </si>
  <si>
    <t xml:space="preserve">9.1.1</t>
  </si>
  <si>
    <t xml:space="preserve">Dotacje i środki o charakterze bieżącym na realizację programu, projektu lub zadania finansowanego z udziałem środków, o których mowa w art. 5 ust. 1 pkt 2 ustawy, w tym:</t>
  </si>
  <si>
    <t xml:space="preserve">9.1.1.1</t>
  </si>
  <si>
    <t xml:space="preserve">środki określone w art. 5 ust. 1 pkt 2 ustawy</t>
  </si>
  <si>
    <t xml:space="preserve">9.2</t>
  </si>
  <si>
    <t xml:space="preserve">Dochody majątkowe na programy, projekty lub zadania finansowe z udziałem środków, o których mowa w art. 5 ust. 1 pkt 2 i 3 ustawy</t>
  </si>
  <si>
    <t xml:space="preserve">9.2.1</t>
  </si>
  <si>
    <t xml:space="preserve">Dochody majątkowe na programy, projekty lub zadania finansowe z udziałem środków, o których mowa w art. 5 ust. 1 pkt 2 ustawy, w tym:</t>
  </si>
  <si>
    <t xml:space="preserve">9.2.1.1</t>
  </si>
  <si>
    <t xml:space="preserve">9.3</t>
  </si>
  <si>
    <t xml:space="preserve">Wydatki bieżące na programy, projekty lub zadania finansowe z udziałem środków, o których mowa w art. 5 ust. 1 pkt 2 i 3 ustawy</t>
  </si>
  <si>
    <t xml:space="preserve">9.3.1</t>
  </si>
  <si>
    <t xml:space="preserve">Wydatki bieżące na programy, projekty lub zadania finansowe z udziałem środków, o których mowa w art. 5 ust. 1 pkt 2 ustawy, w tym:</t>
  </si>
  <si>
    <t xml:space="preserve">9.3.1.1</t>
  </si>
  <si>
    <t xml:space="preserve">finansowane środkami określonymi w art. 5 ust. 1 pkt 2 ustawy</t>
  </si>
  <si>
    <t xml:space="preserve">9.4</t>
  </si>
  <si>
    <t xml:space="preserve">Wydatki majątkowe na programy, projekty lub zadania finansowe z udziałem środków, o których mowa w art. 5 ust. 1 pkt 2 i 3 ustawy</t>
  </si>
  <si>
    <t xml:space="preserve">9.4.1</t>
  </si>
  <si>
    <t xml:space="preserve">Wydatki majątkowe na programy, projekty lub zadania finansowe z udziałem środków, o których mowa w art. 5 ust. 1 pkt 2 ustawy, w tym:</t>
  </si>
  <si>
    <t xml:space="preserve">9.4.1.1</t>
  </si>
  <si>
    <t xml:space="preserve">10</t>
  </si>
  <si>
    <t xml:space="preserve">Informacje uzupełniające o wybranych kategoriach finansowych</t>
  </si>
  <si>
    <t xml:space="preserve">10.1</t>
  </si>
  <si>
    <t xml:space="preserve">Wydatki objęte limitem, o którym mowa w art. 226 ust. 3 pkt 4 ustawy, z tego:</t>
  </si>
  <si>
    <t xml:space="preserve">10.1.1</t>
  </si>
  <si>
    <t xml:space="preserve">bieżące</t>
  </si>
  <si>
    <t xml:space="preserve">10.1.2</t>
  </si>
  <si>
    <t xml:space="preserve">majątkowe</t>
  </si>
  <si>
    <t xml:space="preserve">10.2</t>
  </si>
  <si>
    <t xml:space="preserve">Wydatki bieżące na pokrycie ujemnego wyniku finansowego samodzielnego publicznego zakładu opieki zdrowotnej</t>
  </si>
  <si>
    <t xml:space="preserve">10.3</t>
  </si>
  <si>
    <t xml:space="preserve">Wydatki na spłatę zobowiązań przejmowanych w związku z likwidacją lub przekształceniem samodzielnego publicznego zakładu opieki zdrowotnej</t>
  </si>
  <si>
    <t xml:space="preserve">10.4</t>
  </si>
  <si>
    <t xml:space="preserve">Kwota zobowiązań związku współtworzonego przez jednostkę samorządu terytorialnego przypadających do spłaty w danym roku budżetowym, podlegająca doliczeniu zgodnie z art. 244 ustawy</t>
  </si>
  <si>
    <t xml:space="preserve">10.5</t>
  </si>
  <si>
    <t xml:space="preserve">Kwota zobowiązań wynikających z przejęcia przez jednostkę samorządu terytorialnego zobowiązań po likwidowanych i przekształcanych samorządowych osobach prawnych</t>
  </si>
  <si>
    <t xml:space="preserve">10.6</t>
  </si>
  <si>
    <t xml:space="preserve">Spłaty, o których mowa w poz. 5.1., wynikające wyłącznie z tytułu zobowiązań już zaciągniętych</t>
  </si>
  <si>
    <t xml:space="preserve">10.7</t>
  </si>
  <si>
    <t xml:space="preserve">Wydatki zmniejszające dług, w tym:</t>
  </si>
  <si>
    <t xml:space="preserve">10.7.1</t>
  </si>
  <si>
    <t xml:space="preserve">spłata zobowiązań wymagalnych z lat poprzednich, innych niż w poz. 10.7.3</t>
  </si>
  <si>
    <t xml:space="preserve">10.7.2</t>
  </si>
  <si>
    <t xml:space="preserve">spłata zobowiązań zaliczanych do tytułu dłużnego – kredyt i pożyczka, w tym:</t>
  </si>
  <si>
    <t xml:space="preserve">10.7.2.1</t>
  </si>
  <si>
    <t xml:space="preserve">zobowiązań zaciągniętych po dniu 1 stycznia 2019 r.</t>
  </si>
  <si>
    <t xml:space="preserve">10.7.2.1.1</t>
  </si>
  <si>
    <t xml:space="preserve">dokonywana w formie wydatku bieżącego</t>
  </si>
  <si>
    <t xml:space="preserve">10.7.3</t>
  </si>
  <si>
    <t xml:space="preserve">wypłaty z tytułu wymagalnych poręczeń i gwarancji</t>
  </si>
  <si>
    <t xml:space="preserve">10.8</t>
  </si>
  <si>
    <t xml:space="preserve">Kwota wzrostu(+)/spadku(−) kwoty długu wynikająca z operacji niekasowych (m.in. umorzenia, różnice kursowe)</t>
  </si>
  <si>
    <t xml:space="preserve">10.9</t>
  </si>
  <si>
    <t xml:space="preserve">Wcześniejsza spłata zobowiązań, wyłączona z limitu spłaty zobowiązań, dokonywana w formie wydatków budżetowych</t>
  </si>
  <si>
    <t xml:space="preserve">10.10</t>
  </si>
  <si>
    <t xml:space="preserve"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</si>
  <si>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 xml:space="preserve">10.11</t>
  </si>
  <si>
    <t xml:space="preserve">Wydatki bieżące podlegające ustawowemu wyłączeniu z limitu spłaty zobowiązań</t>
  </si>
  <si>
    <t xml:space="preserve">10.11.x</t>
  </si>
  <si>
    <t xml:space="preserve">Planowane wydatki bieżące podlegające ustawowemu wyłączeniu z limitu spłaty zobowiązań</t>
  </si>
  <si>
    <t xml:space="preserve">13</t>
  </si>
  <si>
    <t xml:space="preserve">Rozliczenie budżetu</t>
  </si>
  <si>
    <t xml:space="preserve">13z</t>
  </si>
  <si>
    <t xml:space="preserve">Zdolność inwestycyjna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</si>
</sst>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%"/>
    <numFmt numFmtId="167" formatCode="General"/>
  </numFmts>
  <fonts count="9">
    <font>
      <sz val="11"/>
      <name val="Calibri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Times New Roman"/>
      <family val="1"/>
      <charset val="238"/>
    </font>
    <font>
      <b val="true"/>
      <sz val="8"/>
      <name val="Times New Roman"/>
      <family val="0"/>
      <charset val="1"/>
    </font>
    <font>
      <sz val="8"/>
      <name val="Times New Roman"/>
      <family val="0"/>
      <charset val="1"/>
    </font>
    <font>
      <sz val="9"/>
      <name val="Times New Roman"/>
      <family val="1"/>
      <charset val="1"/>
    </font>
    <font>
      <b val="true"/>
      <sz val="8"/>
      <color rgb="FFFF0000"/>
      <name val="Times New Roman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EAEAEA"/>
        <bgColor rgb="FFECEAEC"/>
      </patternFill>
    </fill>
    <fill>
      <patternFill patternType="solid">
        <fgColor rgb="FFECEAEC"/>
        <bgColor rgb="FFEAEAEA"/>
      </patternFill>
    </fill>
    <fill>
      <patternFill patternType="solid">
        <fgColor rgb="FFF4F2FD"/>
        <bgColor rgb="FFECEAEC"/>
      </patternFill>
    </fill>
    <fill>
      <patternFill patternType="solid">
        <fgColor rgb="FF99DFCF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ADFF2F"/>
        </patternFill>
      </fill>
    </dxf>
    <dxf>
      <fill>
        <patternFill>
          <bgColor rgb="FFCD5C5C"/>
        </patternFill>
      </fill>
    </dxf>
    <dxf>
      <fill>
        <patternFill>
          <bgColor rgb="FFADFF2F"/>
        </patternFill>
      </fill>
    </dxf>
    <dxf>
      <fill>
        <patternFill>
          <bgColor rgb="FFCD5C5C"/>
        </patternFill>
      </fill>
    </dxf>
  </dxfs>
  <colors>
    <indexedColors>
      <rgbColor rgb="FF000000"/>
      <rgbColor rgb="FFF4F2F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CEAEC"/>
      <rgbColor rgb="FFEAEAEA"/>
      <rgbColor rgb="FF660066"/>
      <rgbColor rgb="FFCD5C5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DFCF"/>
      <rgbColor rgb="FFFF99CC"/>
      <rgbColor rgb="FFCC99FF"/>
      <rgbColor rgb="FFFFCC99"/>
      <rgbColor rgb="FF3366FF"/>
      <rgbColor rgb="FF33CCCC"/>
      <rgbColor rgb="FFADFF2F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2" topLeftCell="C62" activePane="bottomRight" state="frozen"/>
      <selection pane="topLeft" activeCell="A1" activeCellId="0" sqref="A1"/>
      <selection pane="topRight" activeCell="C1" activeCellId="0" sqref="C1"/>
      <selection pane="bottomLeft" activeCell="A62" activeCellId="0" sqref="A62"/>
      <selection pane="bottomRight" activeCell="Y70" activeCellId="0" sqref="Y7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15"/>
    <col collapsed="false" customWidth="true" hidden="false" outlineLevel="0" max="2" min="2" style="0" width="42.86"/>
    <col collapsed="false" customWidth="true" hidden="true" outlineLevel="0" max="10" min="3" style="0" width="14.29"/>
    <col collapsed="false" customWidth="true" hidden="false" outlineLevel="0" max="20" min="11" style="0" width="14.29"/>
  </cols>
  <sheetData>
    <row r="1" customFormat="false" ht="1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customFormat="false" ht="14.25" hidden="false" customHeight="true" outlineLevel="0" collapsed="false">
      <c r="A3" s="3" t="s">
        <v>21</v>
      </c>
      <c r="B3" s="4" t="s">
        <v>22</v>
      </c>
      <c r="C3" s="5" t="n">
        <f aca="false">IF(ISNUMBER(VLOOKUP("1.1",A3:T105,3,FALSE())),ROUND(VLOOKUP("1.1",A3:T105,3,FALSE()),4),0) + IF(ISNUMBER(VLOOKUP("1.2",A3:T105,3,FALSE())),ROUND(VLOOKUP("1.2",A3:T105,3,FALSE()),4),0)</f>
        <v>19580534.36</v>
      </c>
      <c r="D3" s="5" t="n">
        <f aca="false">IF(ISNUMBER(VLOOKUP("1.1",A3:T105,4,FALSE())),ROUND(VLOOKUP("1.1",A3:T105,4,FALSE()),4),0) + IF(ISNUMBER(VLOOKUP("1.2",A3:T105,4,FALSE())),ROUND(VLOOKUP("1.2",A3:T105,4,FALSE()),4),0)</f>
        <v>17950044.31</v>
      </c>
      <c r="E3" s="5" t="n">
        <f aca="false">IF(ISNUMBER(VLOOKUP("1.1",A3:T105,5,FALSE())),ROUND(VLOOKUP("1.1",A3:T105,5,FALSE()),4),0) + IF(ISNUMBER(VLOOKUP("1.2",A3:T105,5,FALSE())),ROUND(VLOOKUP("1.2",A3:T105,5,FALSE()),4),0)</f>
        <v>18080954.25</v>
      </c>
      <c r="F3" s="5" t="n">
        <f aca="false">IF(ISNUMBER(VLOOKUP("1.1",A3:T105,6,FALSE())),ROUND(VLOOKUP("1.1",A3:T105,6,FALSE()),4),0) + IF(ISNUMBER(VLOOKUP("1.2",A3:T105,6,FALSE())),ROUND(VLOOKUP("1.2",A3:T105,6,FALSE()),4),0)</f>
        <v>22190932.6</v>
      </c>
      <c r="G3" s="5" t="n">
        <f aca="false">IF(ISNUMBER(VLOOKUP("1.1",A3:T105,7,FALSE())),ROUND(VLOOKUP("1.1",A3:T105,7,FALSE()),4),0) + IF(ISNUMBER(VLOOKUP("1.2",A3:T105,7,FALSE())),ROUND(VLOOKUP("1.2",A3:T105,7,FALSE()),4),0)</f>
        <v>21696579.41</v>
      </c>
      <c r="H3" s="5" t="n">
        <f aca="false">IF(ISNUMBER(VLOOKUP("1.1",A3:T105,8,FALSE())),ROUND(VLOOKUP("1.1",A3:T105,8,FALSE()),4),0) + IF(ISNUMBER(VLOOKUP("1.2",A3:T105,8,FALSE())),ROUND(VLOOKUP("1.2",A3:T105,8,FALSE()),4),0)</f>
        <v>26040436.51</v>
      </c>
      <c r="I3" s="5" t="n">
        <f aca="false">IF(ISNUMBER(VLOOKUP("1.1",A3:T105,9,FALSE())),ROUND(VLOOKUP("1.1",A3:T105,9,FALSE()),4),0) + IF(ISNUMBER(VLOOKUP("1.2",A3:T105,9,FALSE())),ROUND(VLOOKUP("1.2",A3:T105,9,FALSE()),4),0)</f>
        <v>29438678.14</v>
      </c>
      <c r="J3" s="5" t="n">
        <f aca="false">IF(ISNUMBER(VLOOKUP("1.1",A3:T105,10,FALSE())),ROUND(VLOOKUP("1.1",A3:T105,10,FALSE()),4),0) + IF(ISNUMBER(VLOOKUP("1.2",A3:T105,10,FALSE())),ROUND(VLOOKUP("1.2",A3:T105,10,FALSE()),4),0)</f>
        <v>30914433.51</v>
      </c>
      <c r="K3" s="6" t="n">
        <f aca="false">IF(ISNUMBER(VLOOKUP("1.1",A3:T105,11,FALSE())),ROUND(VLOOKUP("1.1",A3:T105,11,FALSE()),4),0) + IF(ISNUMBER(VLOOKUP("1.2",A3:T105,11,FALSE())),ROUND(VLOOKUP("1.2",A3:T105,11,FALSE()),4),0)</f>
        <v>28537338.91</v>
      </c>
      <c r="L3" s="6" t="n">
        <f aca="false">IF(ISNUMBER(VLOOKUP("1.1",A3:T105,12,FALSE())),ROUND(VLOOKUP("1.1",A3:T105,12,FALSE()),4),0) + IF(ISNUMBER(VLOOKUP("1.2",A3:T105,12,FALSE())),ROUND(VLOOKUP("1.2",A3:T105,12,FALSE()),4),0)</f>
        <v>22410054.43</v>
      </c>
      <c r="M3" s="6" t="n">
        <f aca="false">IF(ISNUMBER(VLOOKUP("1.1",A3:T105,13,FALSE())),ROUND(VLOOKUP("1.1",A3:T105,13,FALSE()),4),0) + IF(ISNUMBER(VLOOKUP("1.2",A3:T105,13,FALSE())),ROUND(VLOOKUP("1.2",A3:T105,13,FALSE()),4),0)</f>
        <v>20986584.43</v>
      </c>
      <c r="N3" s="6" t="n">
        <f aca="false">IF(ISNUMBER(VLOOKUP("1.1",A3:T105,14,FALSE())),ROUND(VLOOKUP("1.1",A3:T105,14,FALSE()),4),0) + IF(ISNUMBER(VLOOKUP("1.2",A3:T105,14,FALSE())),ROUND(VLOOKUP("1.2",A3:T105,14,FALSE()),4),0)</f>
        <v>21559376.43</v>
      </c>
      <c r="O3" s="6" t="n">
        <f aca="false">IF(ISNUMBER(VLOOKUP("1.1",A3:T105,15,FALSE())),ROUND(VLOOKUP("1.1",A3:T105,15,FALSE()),4),0) + IF(ISNUMBER(VLOOKUP("1.2",A3:T105,15,FALSE())),ROUND(VLOOKUP("1.2",A3:T105,15,FALSE()),4),0)</f>
        <v>22127177.43</v>
      </c>
      <c r="P3" s="6" t="n">
        <f aca="false">IF(ISNUMBER(VLOOKUP("1.1",A3:T105,16,FALSE())),ROUND(VLOOKUP("1.1",A3:T105,16,FALSE()),4),0) + IF(ISNUMBER(VLOOKUP("1.2",A3:T105,16,FALSE())),ROUND(VLOOKUP("1.2",A3:T105,16,FALSE()),4),0)</f>
        <v>22667113.43</v>
      </c>
      <c r="Q3" s="6" t="n">
        <f aca="false">IF(ISNUMBER(VLOOKUP("1.1",A3:T105,17,FALSE())),ROUND(VLOOKUP("1.1",A3:T105,17,FALSE()),4),0) + IF(ISNUMBER(VLOOKUP("1.2",A3:T105,17,FALSE())),ROUND(VLOOKUP("1.2",A3:T105,17,FALSE()),4),0)</f>
        <v>23020549.43</v>
      </c>
      <c r="R3" s="6" t="n">
        <f aca="false">IF(ISNUMBER(VLOOKUP("1.1",A3:T105,18,FALSE())),ROUND(VLOOKUP("1.1",A3:T105,18,FALSE()),4),0) + IF(ISNUMBER(VLOOKUP("1.2",A3:T105,18,FALSE())),ROUND(VLOOKUP("1.2",A3:T105,18,FALSE()),4),0)</f>
        <v>23587820.43</v>
      </c>
      <c r="S3" s="6" t="n">
        <f aca="false">IF(ISNUMBER(VLOOKUP("1.1",A3:T105,19,FALSE())),ROUND(VLOOKUP("1.1",A3:T105,19,FALSE()),4),0) + IF(ISNUMBER(VLOOKUP("1.2",A3:T105,19,FALSE())),ROUND(VLOOKUP("1.2",A3:T105,19,FALSE()),4),0)</f>
        <v>24169273.43</v>
      </c>
      <c r="T3" s="6" t="n">
        <f aca="false">IF(ISNUMBER(VLOOKUP("1.1",A3:T105,20,FALSE())),ROUND(VLOOKUP("1.1",A3:T105,20,FALSE()),4),0) + IF(ISNUMBER(VLOOKUP("1.2",A3:T105,20,FALSE())),ROUND(VLOOKUP("1.2",A3:T105,20,FALSE()),4),0)</f>
        <v>24765262.44</v>
      </c>
    </row>
    <row r="4" customFormat="false" ht="14.25" hidden="false" customHeight="true" outlineLevel="0" collapsed="false">
      <c r="A4" s="3" t="s">
        <v>23</v>
      </c>
      <c r="B4" s="4" t="s">
        <v>24</v>
      </c>
      <c r="C4" s="5" t="n">
        <f aca="false">IF(ISNUMBER(VLOOKUP("1.1.1",A3:T105,3,FALSE())),ROUND(VLOOKUP("1.1.1",A3:T105,3,FALSE()),4),0) + IF(ISNUMBER(VLOOKUP("1.1.2",A3:T105,3,FALSE())),ROUND(VLOOKUP("1.1.2",A3:T105,3,FALSE()),4),0) + IF(ISNUMBER(VLOOKUP("1.1.3",A3:T105,3,FALSE())),ROUND(VLOOKUP("1.1.3",A3:T105,3,FALSE()),4),0) + IF(ISNUMBER(VLOOKUP("1.1.4",A3:T105,3,FALSE())),ROUND(VLOOKUP("1.1.4",A3:T105,3,FALSE()),4),0) + IF(ISNUMBER(VLOOKUP("1.1.5",A3:T105,3,FALSE())),ROUND(VLOOKUP("1.1.5",A3:T105,3,FALSE()),4),0) + IF(ISNA(VLOOKUP("1.1.x",A3:T105,3,FALSE())),0,ROUND(VLOOKUP("1.1.x",A3:T105,3,FALSE()),4))</f>
        <v>16306630.83</v>
      </c>
      <c r="D4" s="5" t="n">
        <f aca="false">IF(ISNUMBER(VLOOKUP("1.1.1",A3:T105,4,FALSE())),ROUND(VLOOKUP("1.1.1",A3:T105,4,FALSE()),4),0) + IF(ISNUMBER(VLOOKUP("1.1.2",A3:T105,4,FALSE())),ROUND(VLOOKUP("1.1.2",A3:T105,4,FALSE()),4),0) + IF(ISNUMBER(VLOOKUP("1.1.3",A3:T105,4,FALSE())),ROUND(VLOOKUP("1.1.3",A3:T105,4,FALSE()),4),0) + IF(ISNUMBER(VLOOKUP("1.1.4",A3:T105,4,FALSE())),ROUND(VLOOKUP("1.1.4",A3:T105,4,FALSE()),4),0) + IF(ISNUMBER(VLOOKUP("1.1.5",A3:T105,4,FALSE())),ROUND(VLOOKUP("1.1.5",A3:T105,4,FALSE()),4),0) + IF(ISNA(VLOOKUP("1.1.x",A3:T105,4,FALSE())),0,ROUND(VLOOKUP("1.1.x",A3:T105,4,FALSE()),4))</f>
        <v>16673276.09</v>
      </c>
      <c r="E4" s="5" t="n">
        <f aca="false">IF(ISNUMBER(VLOOKUP("1.1.1",A3:T105,5,FALSE())),ROUND(VLOOKUP("1.1.1",A3:T105,5,FALSE()),4),0) + IF(ISNUMBER(VLOOKUP("1.1.2",A3:T105,5,FALSE())),ROUND(VLOOKUP("1.1.2",A3:T105,5,FALSE()),4),0) + IF(ISNUMBER(VLOOKUP("1.1.3",A3:T105,5,FALSE())),ROUND(VLOOKUP("1.1.3",A3:T105,5,FALSE()),4),0) + IF(ISNUMBER(VLOOKUP("1.1.4",A3:T105,5,FALSE())),ROUND(VLOOKUP("1.1.4",A3:T105,5,FALSE()),4),0) + IF(ISNUMBER(VLOOKUP("1.1.5",A3:T105,5,FALSE())),ROUND(VLOOKUP("1.1.5",A3:T105,5,FALSE()),4),0) + IF(ISNA(VLOOKUP("1.1.x",A3:T105,5,FALSE())),0,ROUND(VLOOKUP("1.1.x",A3:T105,5,FALSE()),4))</f>
        <v>17150555.54</v>
      </c>
      <c r="F4" s="5" t="n">
        <f aca="false">IF(ISNUMBER(VLOOKUP("1.1.1",A3:T105,6,FALSE())),ROUND(VLOOKUP("1.1.1",A3:T105,6,FALSE()),4),0) + IF(ISNUMBER(VLOOKUP("1.1.2",A3:T105,6,FALSE())),ROUND(VLOOKUP("1.1.2",A3:T105,6,FALSE()),4),0) + IF(ISNUMBER(VLOOKUP("1.1.3",A3:T105,6,FALSE())),ROUND(VLOOKUP("1.1.3",A3:T105,6,FALSE()),4),0) + IF(ISNUMBER(VLOOKUP("1.1.4",A3:T105,6,FALSE())),ROUND(VLOOKUP("1.1.4",A3:T105,6,FALSE()),4),0) + IF(ISNUMBER(VLOOKUP("1.1.5",A3:T105,6,FALSE())),ROUND(VLOOKUP("1.1.5",A3:T105,6,FALSE()),4),0) + IF(ISNA(VLOOKUP("1.1.x",A3:T105,6,FALSE())),0,ROUND(VLOOKUP("1.1.x",A3:T105,6,FALSE()),4))</f>
        <v>21088648.78</v>
      </c>
      <c r="G4" s="5" t="n">
        <f aca="false">IF(ISNUMBER(VLOOKUP("1.1.1",A3:T105,7,FALSE())),ROUND(VLOOKUP("1.1.1",A3:T105,7,FALSE()),4),0) + IF(ISNUMBER(VLOOKUP("1.1.2",A3:T105,7,FALSE())),ROUND(VLOOKUP("1.1.2",A3:T105,7,FALSE()),4),0) + IF(ISNUMBER(VLOOKUP("1.1.3",A3:T105,7,FALSE())),ROUND(VLOOKUP("1.1.3",A3:T105,7,FALSE()),4),0) + IF(ISNUMBER(VLOOKUP("1.1.4",A3:T105,7,FALSE())),ROUND(VLOOKUP("1.1.4",A3:T105,7,FALSE()),4),0) + IF(ISNUMBER(VLOOKUP("1.1.5",A3:T105,7,FALSE())),ROUND(VLOOKUP("1.1.5",A3:T105,7,FALSE()),4),0) + IF(ISNA(VLOOKUP("1.1.x",A3:T105,7,FALSE())),0,ROUND(VLOOKUP("1.1.x",A3:T105,7,FALSE()),4))</f>
        <v>17277003.44</v>
      </c>
      <c r="H4" s="5" t="n">
        <f aca="false">IF(ISNUMBER(VLOOKUP("1.1.1",A3:T105,8,FALSE())),ROUND(VLOOKUP("1.1.1",A3:T105,8,FALSE()),4),0) + IF(ISNUMBER(VLOOKUP("1.1.2",A3:T105,8,FALSE())),ROUND(VLOOKUP("1.1.2",A3:T105,8,FALSE()),4),0) + IF(ISNUMBER(VLOOKUP("1.1.3",A3:T105,8,FALSE())),ROUND(VLOOKUP("1.1.3",A3:T105,8,FALSE()),4),0) + IF(ISNUMBER(VLOOKUP("1.1.4",A3:T105,8,FALSE())),ROUND(VLOOKUP("1.1.4",A3:T105,8,FALSE()),4),0) + IF(ISNUMBER(VLOOKUP("1.1.5",A3:T105,8,FALSE())),ROUND(VLOOKUP("1.1.5",A3:T105,8,FALSE()),4),0) + IF(ISNA(VLOOKUP("1.1.x",A3:T105,8,FALSE())),0,ROUND(VLOOKUP("1.1.x",A3:T105,8,FALSE()),4))</f>
        <v>19711977.67</v>
      </c>
      <c r="I4" s="5" t="n">
        <f aca="false">IF(ISNUMBER(VLOOKUP("1.1.1",A3:T105,9,FALSE())),ROUND(VLOOKUP("1.1.1",A3:T105,9,FALSE()),4),0) + IF(ISNUMBER(VLOOKUP("1.1.2",A3:T105,9,FALSE())),ROUND(VLOOKUP("1.1.2",A3:T105,9,FALSE()),4),0) + IF(ISNUMBER(VLOOKUP("1.1.3",A3:T105,9,FALSE())),ROUND(VLOOKUP("1.1.3",A3:T105,9,FALSE()),4),0) + IF(ISNUMBER(VLOOKUP("1.1.4",A3:T105,9,FALSE())),ROUND(VLOOKUP("1.1.4",A3:T105,9,FALSE()),4),0) + IF(ISNUMBER(VLOOKUP("1.1.5",A3:T105,9,FALSE())),ROUND(VLOOKUP("1.1.5",A3:T105,9,FALSE()),4),0) + IF(ISNA(VLOOKUP("1.1.x",A3:T105,9,FALSE())),0,ROUND(VLOOKUP("1.1.x",A3:T105,9,FALSE()),4))</f>
        <v>19634003.03</v>
      </c>
      <c r="J4" s="5" t="n">
        <f aca="false">IF(ISNUMBER(VLOOKUP("1.1.1",A3:T105,10,FALSE())),ROUND(VLOOKUP("1.1.1",A3:T105,10,FALSE()),4),0) + IF(ISNUMBER(VLOOKUP("1.1.2",A3:T105,10,FALSE())),ROUND(VLOOKUP("1.1.2",A3:T105,10,FALSE()),4),0) + IF(ISNUMBER(VLOOKUP("1.1.3",A3:T105,10,FALSE())),ROUND(VLOOKUP("1.1.3",A3:T105,10,FALSE()),4),0) + IF(ISNUMBER(VLOOKUP("1.1.4",A3:T105,10,FALSE())),ROUND(VLOOKUP("1.1.4",A3:T105,10,FALSE()),4),0) + IF(ISNUMBER(VLOOKUP("1.1.5",A3:T105,10,FALSE())),ROUND(VLOOKUP("1.1.5",A3:T105,10,FALSE()),4),0) + IF(ISNA(VLOOKUP("1.1.x",A3:T105,10,FALSE())),0,ROUND(VLOOKUP("1.1.x",A3:T105,10,FALSE()),4))</f>
        <v>21386792.84</v>
      </c>
      <c r="K4" s="6" t="n">
        <f aca="false">IF(ISNUMBER(VLOOKUP("1.1.1",A3:T105,11,FALSE())),ROUND(VLOOKUP("1.1.1",A3:T105,11,FALSE()),4),0) + IF(ISNUMBER(VLOOKUP("1.1.2",A3:T105,11,FALSE())),ROUND(VLOOKUP("1.1.2",A3:T105,11,FALSE()),4),0) + IF(ISNUMBER(VLOOKUP("1.1.3",A3:T105,11,FALSE())),ROUND(VLOOKUP("1.1.3",A3:T105,11,FALSE()),4),0) + IF(ISNUMBER(VLOOKUP("1.1.4",A3:T105,11,FALSE())),ROUND(VLOOKUP("1.1.4",A3:T105,11,FALSE()),4),0) + IF(ISNUMBER(VLOOKUP("1.1.5",A3:T105,11,FALSE())),ROUND(VLOOKUP("1.1.5",A3:T105,11,FALSE()),4),0) + IF(ISNA(VLOOKUP("1.1.x",A3:T105,11,FALSE())),0,ROUND(VLOOKUP("1.1.x",A3:T105,11,FALSE()),4))</f>
        <v>20727432.05</v>
      </c>
      <c r="L4" s="6" t="n">
        <f aca="false">IF(ISNUMBER(VLOOKUP("1.1.1",A3:T105,12,FALSE())),ROUND(VLOOKUP("1.1.1",A3:T105,12,FALSE()),4),0) + IF(ISNUMBER(VLOOKUP("1.1.2",A3:T105,12,FALSE())),ROUND(VLOOKUP("1.1.2",A3:T105,12,FALSE()),4),0) + IF(ISNUMBER(VLOOKUP("1.1.3",A3:T105,12,FALSE())),ROUND(VLOOKUP("1.1.3",A3:T105,12,FALSE()),4),0) + IF(ISNUMBER(VLOOKUP("1.1.4",A3:T105,12,FALSE())),ROUND(VLOOKUP("1.1.4",A3:T105,12,FALSE()),4),0) + IF(ISNUMBER(VLOOKUP("1.1.5",A3:T105,12,FALSE())),ROUND(VLOOKUP("1.1.5",A3:T105,12,FALSE()),4),0) + IF(ISNA(VLOOKUP("1.1.x",A3:T105,12,FALSE())),0,ROUND(VLOOKUP("1.1.x",A3:T105,12,FALSE()),4))</f>
        <v>19880343</v>
      </c>
      <c r="M4" s="6" t="n">
        <f aca="false">IF(ISNUMBER(VLOOKUP("1.1.1",A3:T105,13,FALSE())),ROUND(VLOOKUP("1.1.1",A3:T105,13,FALSE()),4),0) + IF(ISNUMBER(VLOOKUP("1.1.2",A3:T105,13,FALSE())),ROUND(VLOOKUP("1.1.2",A3:T105,13,FALSE()),4),0) + IF(ISNUMBER(VLOOKUP("1.1.3",A3:T105,13,FALSE())),ROUND(VLOOKUP("1.1.3",A3:T105,13,FALSE()),4),0) + IF(ISNUMBER(VLOOKUP("1.1.4",A3:T105,13,FALSE())),ROUND(VLOOKUP("1.1.4",A3:T105,13,FALSE()),4),0) + IF(ISNUMBER(VLOOKUP("1.1.5",A3:T105,13,FALSE())),ROUND(VLOOKUP("1.1.5",A3:T105,13,FALSE()),4),0) + IF(ISNA(VLOOKUP("1.1.x",A3:T105,13,FALSE())),0,ROUND(VLOOKUP("1.1.x",A3:T105,13,FALSE()),4))</f>
        <v>20456873</v>
      </c>
      <c r="N4" s="6" t="n">
        <f aca="false">IF(ISNUMBER(VLOOKUP("1.1.1",A3:T105,14,FALSE())),ROUND(VLOOKUP("1.1.1",A3:T105,14,FALSE()),4),0) + IF(ISNUMBER(VLOOKUP("1.1.2",A3:T105,14,FALSE())),ROUND(VLOOKUP("1.1.2",A3:T105,14,FALSE()),4),0) + IF(ISNUMBER(VLOOKUP("1.1.3",A3:T105,14,FALSE())),ROUND(VLOOKUP("1.1.3",A3:T105,14,FALSE()),4),0) + IF(ISNUMBER(VLOOKUP("1.1.4",A3:T105,14,FALSE())),ROUND(VLOOKUP("1.1.4",A3:T105,14,FALSE()),4),0) + IF(ISNUMBER(VLOOKUP("1.1.5",A3:T105,14,FALSE())),ROUND(VLOOKUP("1.1.5",A3:T105,14,FALSE()),4),0) + IF(ISNA(VLOOKUP("1.1.x",A3:T105,14,FALSE())),0,ROUND(VLOOKUP("1.1.x",A3:T105,14,FALSE()),4))</f>
        <v>21029665</v>
      </c>
      <c r="O4" s="6" t="n">
        <f aca="false">IF(ISNUMBER(VLOOKUP("1.1.1",A3:T105,15,FALSE())),ROUND(VLOOKUP("1.1.1",A3:T105,15,FALSE()),4),0) + IF(ISNUMBER(VLOOKUP("1.1.2",A3:T105,15,FALSE())),ROUND(VLOOKUP("1.1.2",A3:T105,15,FALSE()),4),0) + IF(ISNUMBER(VLOOKUP("1.1.3",A3:T105,15,FALSE())),ROUND(VLOOKUP("1.1.3",A3:T105,15,FALSE()),4),0) + IF(ISNUMBER(VLOOKUP("1.1.4",A3:T105,15,FALSE())),ROUND(VLOOKUP("1.1.4",A3:T105,15,FALSE()),4),0) + IF(ISNUMBER(VLOOKUP("1.1.5",A3:T105,15,FALSE())),ROUND(VLOOKUP("1.1.5",A3:T105,15,FALSE()),4),0) + IF(ISNA(VLOOKUP("1.1.x",A3:T105,15,FALSE())),0,ROUND(VLOOKUP("1.1.x",A3:T105,15,FALSE()),4))</f>
        <v>21597466</v>
      </c>
      <c r="P4" s="6" t="n">
        <f aca="false">IF(ISNUMBER(VLOOKUP("1.1.1",A3:T105,16,FALSE())),ROUND(VLOOKUP("1.1.1",A3:T105,16,FALSE()),4),0) + IF(ISNUMBER(VLOOKUP("1.1.2",A3:T105,16,FALSE())),ROUND(VLOOKUP("1.1.2",A3:T105,16,FALSE()),4),0) + IF(ISNUMBER(VLOOKUP("1.1.3",A3:T105,16,FALSE())),ROUND(VLOOKUP("1.1.3",A3:T105,16,FALSE()),4),0) + IF(ISNUMBER(VLOOKUP("1.1.4",A3:T105,16,FALSE())),ROUND(VLOOKUP("1.1.4",A3:T105,16,FALSE()),4),0) + IF(ISNUMBER(VLOOKUP("1.1.5",A3:T105,16,FALSE())),ROUND(VLOOKUP("1.1.5",A3:T105,16,FALSE()),4),0) + IF(ISNA(VLOOKUP("1.1.x",A3:T105,16,FALSE())),0,ROUND(VLOOKUP("1.1.x",A3:T105,16,FALSE()),4))</f>
        <v>22137402</v>
      </c>
      <c r="Q4" s="6" t="n">
        <f aca="false">IF(ISNUMBER(VLOOKUP("1.1.1",A3:T105,17,FALSE())),ROUND(VLOOKUP("1.1.1",A3:T105,17,FALSE()),4),0) + IF(ISNUMBER(VLOOKUP("1.1.2",A3:T105,17,FALSE())),ROUND(VLOOKUP("1.1.2",A3:T105,17,FALSE()),4),0) + IF(ISNUMBER(VLOOKUP("1.1.3",A3:T105,17,FALSE())),ROUND(VLOOKUP("1.1.3",A3:T105,17,FALSE()),4),0) + IF(ISNUMBER(VLOOKUP("1.1.4",A3:T105,17,FALSE())),ROUND(VLOOKUP("1.1.4",A3:T105,17,FALSE()),4),0) + IF(ISNUMBER(VLOOKUP("1.1.5",A3:T105,17,FALSE())),ROUND(VLOOKUP("1.1.5",A3:T105,17,FALSE()),4),0) + IF(ISNA(VLOOKUP("1.1.x",A3:T105,17,FALSE())),0,ROUND(VLOOKUP("1.1.x",A3:T105,17,FALSE()),4))</f>
        <v>22690838</v>
      </c>
      <c r="R4" s="6" t="n">
        <f aca="false">IF(ISNUMBER(VLOOKUP("1.1.1",A3:T105,18,FALSE())),ROUND(VLOOKUP("1.1.1",A3:T105,18,FALSE()),4),0) + IF(ISNUMBER(VLOOKUP("1.1.2",A3:T105,18,FALSE())),ROUND(VLOOKUP("1.1.2",A3:T105,18,FALSE()),4),0) + IF(ISNUMBER(VLOOKUP("1.1.3",A3:T105,18,FALSE())),ROUND(VLOOKUP("1.1.3",A3:T105,18,FALSE()),4),0) + IF(ISNUMBER(VLOOKUP("1.1.4",A3:T105,18,FALSE())),ROUND(VLOOKUP("1.1.4",A3:T105,18,FALSE()),4),0) + IF(ISNUMBER(VLOOKUP("1.1.5",A3:T105,18,FALSE())),ROUND(VLOOKUP("1.1.5",A3:T105,18,FALSE()),4),0) + IF(ISNA(VLOOKUP("1.1.x",A3:T105,18,FALSE())),0,ROUND(VLOOKUP("1.1.x",A3:T105,18,FALSE()),4))</f>
        <v>23258109</v>
      </c>
      <c r="S4" s="6" t="n">
        <f aca="false">IF(ISNUMBER(VLOOKUP("1.1.1",A3:T105,19,FALSE())),ROUND(VLOOKUP("1.1.1",A3:T105,19,FALSE()),4),0) + IF(ISNUMBER(VLOOKUP("1.1.2",A3:T105,19,FALSE())),ROUND(VLOOKUP("1.1.2",A3:T105,19,FALSE()),4),0) + IF(ISNUMBER(VLOOKUP("1.1.3",A3:T105,19,FALSE())),ROUND(VLOOKUP("1.1.3",A3:T105,19,FALSE()),4),0) + IF(ISNUMBER(VLOOKUP("1.1.4",A3:T105,19,FALSE())),ROUND(VLOOKUP("1.1.4",A3:T105,19,FALSE()),4),0) + IF(ISNUMBER(VLOOKUP("1.1.5",A3:T105,19,FALSE())),ROUND(VLOOKUP("1.1.5",A3:T105,19,FALSE()),4),0) + IF(ISNA(VLOOKUP("1.1.x",A3:T105,19,FALSE())),0,ROUND(VLOOKUP("1.1.x",A3:T105,19,FALSE()),4))</f>
        <v>23839562</v>
      </c>
      <c r="T4" s="6" t="n">
        <f aca="false">IF(ISNUMBER(VLOOKUP("1.1.1",A3:T105,20,FALSE())),ROUND(VLOOKUP("1.1.1",A3:T105,20,FALSE()),4),0) + IF(ISNUMBER(VLOOKUP("1.1.2",A3:T105,20,FALSE())),ROUND(VLOOKUP("1.1.2",A3:T105,20,FALSE()),4),0) + IF(ISNUMBER(VLOOKUP("1.1.3",A3:T105,20,FALSE())),ROUND(VLOOKUP("1.1.3",A3:T105,20,FALSE()),4),0) + IF(ISNUMBER(VLOOKUP("1.1.4",A3:T105,20,FALSE())),ROUND(VLOOKUP("1.1.4",A3:T105,20,FALSE()),4),0) + IF(ISNUMBER(VLOOKUP("1.1.5",A3:T105,20,FALSE())),ROUND(VLOOKUP("1.1.5",A3:T105,20,FALSE()),4),0) + IF(ISNA(VLOOKUP("1.1.x",A3:T105,20,FALSE())),0,ROUND(VLOOKUP("1.1.x",A3:T105,20,FALSE()),4))</f>
        <v>24435551</v>
      </c>
    </row>
    <row r="5" customFormat="false" ht="27" hidden="false" customHeight="true" outlineLevel="0" collapsed="false">
      <c r="A5" s="7" t="s">
        <v>25</v>
      </c>
      <c r="B5" s="8" t="s">
        <v>26</v>
      </c>
      <c r="C5" s="9" t="n">
        <v>2140765</v>
      </c>
      <c r="D5" s="9" t="n">
        <v>2383401</v>
      </c>
      <c r="E5" s="9" t="n">
        <v>2395614</v>
      </c>
      <c r="F5" s="9" t="n">
        <v>5065209.57</v>
      </c>
      <c r="G5" s="9" t="n">
        <v>2053695</v>
      </c>
      <c r="H5" s="9" t="n">
        <v>3087269</v>
      </c>
      <c r="I5" s="9" t="n">
        <v>7347591.85</v>
      </c>
      <c r="J5" s="9" t="n">
        <v>7347591.85</v>
      </c>
      <c r="K5" s="10" t="n">
        <v>8484666</v>
      </c>
      <c r="L5" s="10" t="n">
        <v>8739206</v>
      </c>
      <c r="M5" s="10" t="n">
        <v>8992643</v>
      </c>
      <c r="N5" s="10" t="n">
        <v>9244437</v>
      </c>
      <c r="O5" s="10" t="n">
        <v>9494037</v>
      </c>
      <c r="P5" s="10" t="n">
        <v>9731388</v>
      </c>
      <c r="Q5" s="10" t="n">
        <v>9974673</v>
      </c>
      <c r="R5" s="10" t="n">
        <v>10224040</v>
      </c>
      <c r="S5" s="10" t="n">
        <v>10479641</v>
      </c>
      <c r="T5" s="10" t="n">
        <v>10741632</v>
      </c>
    </row>
    <row r="6" customFormat="false" ht="27" hidden="false" customHeight="true" outlineLevel="0" collapsed="false">
      <c r="A6" s="7" t="s">
        <v>27</v>
      </c>
      <c r="B6" s="8" t="s">
        <v>28</v>
      </c>
      <c r="C6" s="9" t="n">
        <v>30182.14</v>
      </c>
      <c r="D6" s="9" t="n">
        <v>25795.85</v>
      </c>
      <c r="E6" s="9" t="n">
        <v>74028.02</v>
      </c>
      <c r="F6" s="9" t="n">
        <v>36995</v>
      </c>
      <c r="G6" s="9" t="n">
        <v>46994</v>
      </c>
      <c r="H6" s="9" t="n">
        <v>58306</v>
      </c>
      <c r="I6" s="9" t="n">
        <v>22378.03</v>
      </c>
      <c r="J6" s="9" t="n">
        <v>22378.03</v>
      </c>
      <c r="K6" s="10" t="n">
        <v>63737</v>
      </c>
      <c r="L6" s="10" t="n">
        <v>65649</v>
      </c>
      <c r="M6" s="10" t="n">
        <v>67553</v>
      </c>
      <c r="N6" s="10" t="n">
        <v>69444</v>
      </c>
      <c r="O6" s="10" t="n">
        <v>71319</v>
      </c>
      <c r="P6" s="10" t="n">
        <v>73102</v>
      </c>
      <c r="Q6" s="10" t="n">
        <v>74930</v>
      </c>
      <c r="R6" s="10" t="n">
        <v>76803</v>
      </c>
      <c r="S6" s="10" t="n">
        <v>78723</v>
      </c>
      <c r="T6" s="10" t="n">
        <v>80691</v>
      </c>
    </row>
    <row r="7" customFormat="false" ht="14.25" hidden="false" customHeight="true" outlineLevel="0" collapsed="false">
      <c r="A7" s="7" t="s">
        <v>29</v>
      </c>
      <c r="B7" s="8" t="s">
        <v>30</v>
      </c>
      <c r="C7" s="9" t="n">
        <v>4661838</v>
      </c>
      <c r="D7" s="9" t="n">
        <v>4234780</v>
      </c>
      <c r="E7" s="9" t="n">
        <v>4620676</v>
      </c>
      <c r="F7" s="9" t="n">
        <v>4554398</v>
      </c>
      <c r="G7" s="9" t="n">
        <v>6640979.5</v>
      </c>
      <c r="H7" s="9" t="n">
        <v>7262836</v>
      </c>
      <c r="I7" s="9" t="n">
        <v>3744865.11</v>
      </c>
      <c r="J7" s="9" t="n">
        <v>3811620.11</v>
      </c>
      <c r="K7" s="10" t="n">
        <v>4236567</v>
      </c>
      <c r="L7" s="10" t="n">
        <v>4340107</v>
      </c>
      <c r="M7" s="10" t="n">
        <v>4465970</v>
      </c>
      <c r="N7" s="10" t="n">
        <v>4591017</v>
      </c>
      <c r="O7" s="10" t="n">
        <v>4714974</v>
      </c>
      <c r="P7" s="10" t="n">
        <v>4832848</v>
      </c>
      <c r="Q7" s="10" t="n">
        <v>4953669</v>
      </c>
      <c r="R7" s="10" t="n">
        <v>5077511</v>
      </c>
      <c r="S7" s="10" t="n">
        <v>5204449</v>
      </c>
      <c r="T7" s="10" t="n">
        <v>5334560</v>
      </c>
    </row>
    <row r="8" customFormat="false" ht="14.25" hidden="false" customHeight="true" outlineLevel="0" collapsed="false">
      <c r="A8" s="7" t="s">
        <v>31</v>
      </c>
      <c r="B8" s="8" t="s">
        <v>32</v>
      </c>
      <c r="C8" s="9" t="n">
        <v>5694436.2</v>
      </c>
      <c r="D8" s="9" t="n">
        <v>6197614.19</v>
      </c>
      <c r="E8" s="9" t="n">
        <v>5917875.46</v>
      </c>
      <c r="F8" s="9" t="n">
        <v>7246167.34</v>
      </c>
      <c r="G8" s="9" t="n">
        <v>3533233.41</v>
      </c>
      <c r="H8" s="9" t="n">
        <v>4192892.41</v>
      </c>
      <c r="I8" s="9" t="n">
        <v>3872168.04</v>
      </c>
      <c r="J8" s="9" t="n">
        <v>4037064.87</v>
      </c>
      <c r="K8" s="10" t="n">
        <v>3324795.29</v>
      </c>
      <c r="L8" s="10" t="n">
        <v>2050942</v>
      </c>
      <c r="M8" s="10" t="n">
        <v>2110419</v>
      </c>
      <c r="N8" s="10" t="n">
        <v>2169511</v>
      </c>
      <c r="O8" s="10" t="n">
        <v>2228088</v>
      </c>
      <c r="P8" s="10" t="n">
        <v>2283790</v>
      </c>
      <c r="Q8" s="10" t="n">
        <v>2340885</v>
      </c>
      <c r="R8" s="10" t="n">
        <v>2399407</v>
      </c>
      <c r="S8" s="10" t="n">
        <v>2459392</v>
      </c>
      <c r="T8" s="10" t="n">
        <v>2520877</v>
      </c>
    </row>
    <row r="9" customFormat="false" ht="14.25" hidden="false" customHeight="true" outlineLevel="0" collapsed="false">
      <c r="A9" s="7" t="s">
        <v>33</v>
      </c>
      <c r="B9" s="8" t="s">
        <v>34</v>
      </c>
      <c r="C9" s="9" t="n">
        <v>2696331.98</v>
      </c>
      <c r="D9" s="9" t="n">
        <v>3831685.05</v>
      </c>
      <c r="E9" s="9" t="n">
        <v>4142362.06</v>
      </c>
      <c r="F9" s="9" t="n">
        <v>4185878.87</v>
      </c>
      <c r="G9" s="9" t="n">
        <v>5002101.53</v>
      </c>
      <c r="H9" s="9" t="n">
        <v>5110674.26</v>
      </c>
      <c r="I9" s="9" t="n">
        <v>4647000</v>
      </c>
      <c r="J9" s="9" t="n">
        <v>6168137.98</v>
      </c>
      <c r="K9" s="10" t="n">
        <v>4617666.76</v>
      </c>
      <c r="L9" s="10" t="n">
        <v>4684439</v>
      </c>
      <c r="M9" s="10" t="n">
        <v>4820288</v>
      </c>
      <c r="N9" s="10" t="n">
        <v>4955256</v>
      </c>
      <c r="O9" s="10" t="n">
        <v>5089048</v>
      </c>
      <c r="P9" s="10" t="n">
        <v>5216274</v>
      </c>
      <c r="Q9" s="10" t="n">
        <v>5346681</v>
      </c>
      <c r="R9" s="10" t="n">
        <v>5480348</v>
      </c>
      <c r="S9" s="10" t="n">
        <v>5617357</v>
      </c>
      <c r="T9" s="10" t="n">
        <v>5757791</v>
      </c>
    </row>
    <row r="10" customFormat="false" ht="14.25" hidden="false" customHeight="true" outlineLevel="0" collapsed="false">
      <c r="A10" s="7" t="s">
        <v>35</v>
      </c>
      <c r="B10" s="8" t="s">
        <v>36</v>
      </c>
      <c r="C10" s="9" t="n">
        <v>1744009.68</v>
      </c>
      <c r="D10" s="9" t="n">
        <v>1603176.31</v>
      </c>
      <c r="E10" s="9" t="n">
        <v>1799894.88</v>
      </c>
      <c r="F10" s="9" t="n">
        <v>1882159.21</v>
      </c>
      <c r="G10" s="9" t="n">
        <v>1984452.18</v>
      </c>
      <c r="H10" s="9" t="n">
        <v>2163703.75</v>
      </c>
      <c r="I10" s="9" t="n">
        <v>2114000</v>
      </c>
      <c r="J10" s="9" t="n">
        <v>2542012.24</v>
      </c>
      <c r="K10" s="10" t="n">
        <v>2059990</v>
      </c>
      <c r="L10" s="10" t="n">
        <v>2121790</v>
      </c>
      <c r="M10" s="10" t="n">
        <v>2183322</v>
      </c>
      <c r="N10" s="10" t="n">
        <v>2244455</v>
      </c>
      <c r="O10" s="10" t="n">
        <v>2305055</v>
      </c>
      <c r="P10" s="10" t="n">
        <v>2362681</v>
      </c>
      <c r="Q10" s="10" t="n">
        <v>2421748</v>
      </c>
      <c r="R10" s="10" t="n">
        <v>2482292</v>
      </c>
      <c r="S10" s="10" t="n">
        <v>2544349</v>
      </c>
      <c r="T10" s="10" t="n">
        <v>2607958</v>
      </c>
    </row>
    <row r="11" customFormat="false" ht="15" hidden="true" customHeight="false" outlineLevel="0" collapsed="false">
      <c r="A11" s="7" t="s">
        <v>37</v>
      </c>
      <c r="B11" s="8" t="s">
        <v>38</v>
      </c>
      <c r="C11" s="9" t="n">
        <v>1083077.51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10" t="n">
        <v>0</v>
      </c>
      <c r="L11" s="10" t="n">
        <v>0</v>
      </c>
      <c r="M11" s="10" t="n">
        <v>0</v>
      </c>
      <c r="N11" s="10" t="n">
        <v>0</v>
      </c>
      <c r="O11" s="10" t="n">
        <v>0</v>
      </c>
      <c r="P11" s="10" t="n">
        <v>0</v>
      </c>
      <c r="Q11" s="10" t="n">
        <v>0</v>
      </c>
      <c r="R11" s="10" t="n">
        <v>0</v>
      </c>
      <c r="S11" s="10" t="n">
        <v>0</v>
      </c>
      <c r="T11" s="10" t="n">
        <v>0</v>
      </c>
    </row>
    <row r="12" customFormat="false" ht="14.25" hidden="false" customHeight="true" outlineLevel="0" collapsed="false">
      <c r="A12" s="3" t="s">
        <v>39</v>
      </c>
      <c r="B12" s="4" t="s">
        <v>40</v>
      </c>
      <c r="C12" s="5" t="n">
        <f aca="false">IF(ISNUMBER(VLOOKUP("1.2.1",A3:T105,3,FALSE())),ROUND(VLOOKUP("1.2.1",A3:T105,3,FALSE()),4),0) + IF(ISNUMBER(VLOOKUP("1.2.2",A3:T105,3,FALSE())),ROUND(VLOOKUP("1.2.2",A3:T105,3,FALSE()),4),0) + IF(ISNUMBER(VLOOKUP("1.2.x",A3:T105,3,FALSE())),ROUND(VLOOKUP("1.2.x",A3:T105,3,FALSE()),4),0)</f>
        <v>3273903.53</v>
      </c>
      <c r="D12" s="5" t="n">
        <f aca="false">IF(ISNUMBER(VLOOKUP("1.2.1",A3:T105,4,FALSE())),ROUND(VLOOKUP("1.2.1",A3:T105,4,FALSE()),4),0) + IF(ISNUMBER(VLOOKUP("1.2.2",A3:T105,4,FALSE())),ROUND(VLOOKUP("1.2.2",A3:T105,4,FALSE()),4),0) + IF(ISNUMBER(VLOOKUP("1.2.x",A3:T105,4,FALSE())),ROUND(VLOOKUP("1.2.x",A3:T105,4,FALSE()),4),0)</f>
        <v>1276768.22</v>
      </c>
      <c r="E12" s="5" t="n">
        <f aca="false">IF(ISNUMBER(VLOOKUP("1.2.1",A3:T105,5,FALSE())),ROUND(VLOOKUP("1.2.1",A3:T105,5,FALSE()),4),0) + IF(ISNUMBER(VLOOKUP("1.2.2",A3:T105,5,FALSE())),ROUND(VLOOKUP("1.2.2",A3:T105,5,FALSE()),4),0) + IF(ISNUMBER(VLOOKUP("1.2.x",A3:T105,5,FALSE())),ROUND(VLOOKUP("1.2.x",A3:T105,5,FALSE()),4),0)</f>
        <v>930398.71</v>
      </c>
      <c r="F12" s="5" t="n">
        <f aca="false">IF(ISNUMBER(VLOOKUP("1.2.1",A3:T105,6,FALSE())),ROUND(VLOOKUP("1.2.1",A3:T105,6,FALSE()),4),0) + IF(ISNUMBER(VLOOKUP("1.2.2",A3:T105,6,FALSE())),ROUND(VLOOKUP("1.2.2",A3:T105,6,FALSE()),4),0) + IF(ISNUMBER(VLOOKUP("1.2.x",A3:T105,6,FALSE())),ROUND(VLOOKUP("1.2.x",A3:T105,6,FALSE()),4),0)</f>
        <v>1102283.82</v>
      </c>
      <c r="G12" s="5" t="n">
        <f aca="false">IF(ISNUMBER(VLOOKUP("1.2.1",A3:T105,7,FALSE())),ROUND(VLOOKUP("1.2.1",A3:T105,7,FALSE()),4),0) + IF(ISNUMBER(VLOOKUP("1.2.2",A3:T105,7,FALSE())),ROUND(VLOOKUP("1.2.2",A3:T105,7,FALSE()),4),0) + IF(ISNUMBER(VLOOKUP("1.2.x",A3:T105,7,FALSE())),ROUND(VLOOKUP("1.2.x",A3:T105,7,FALSE()),4),0)</f>
        <v>4419575.97</v>
      </c>
      <c r="H12" s="5" t="n">
        <f aca="false">IF(ISNUMBER(VLOOKUP("1.2.1",A3:T105,8,FALSE())),ROUND(VLOOKUP("1.2.1",A3:T105,8,FALSE()),4),0) + IF(ISNUMBER(VLOOKUP("1.2.2",A3:T105,8,FALSE())),ROUND(VLOOKUP("1.2.2",A3:T105,8,FALSE()),4),0) + IF(ISNUMBER(VLOOKUP("1.2.x",A3:T105,8,FALSE())),ROUND(VLOOKUP("1.2.x",A3:T105,8,FALSE()),4),0)</f>
        <v>6328458.84</v>
      </c>
      <c r="I12" s="5" t="n">
        <f aca="false">IF(ISNUMBER(VLOOKUP("1.2.1",A3:T105,9,FALSE())),ROUND(VLOOKUP("1.2.1",A3:T105,9,FALSE()),4),0) + IF(ISNUMBER(VLOOKUP("1.2.2",A3:T105,9,FALSE())),ROUND(VLOOKUP("1.2.2",A3:T105,9,FALSE()),4),0) + IF(ISNUMBER(VLOOKUP("1.2.x",A3:T105,9,FALSE())),ROUND(VLOOKUP("1.2.x",A3:T105,9,FALSE()),4),0)</f>
        <v>9804675.11</v>
      </c>
      <c r="J12" s="5" t="n">
        <f aca="false">IF(ISNUMBER(VLOOKUP("1.2.1",A3:T105,10,FALSE())),ROUND(VLOOKUP("1.2.1",A3:T105,10,FALSE()),4),0) + IF(ISNUMBER(VLOOKUP("1.2.2",A3:T105,10,FALSE())),ROUND(VLOOKUP("1.2.2",A3:T105,10,FALSE()),4),0) + IF(ISNUMBER(VLOOKUP("1.2.x",A3:T105,10,FALSE())),ROUND(VLOOKUP("1.2.x",A3:T105,10,FALSE()),4),0)</f>
        <v>9527640.67</v>
      </c>
      <c r="K12" s="6" t="n">
        <f aca="false">IF(ISNUMBER(VLOOKUP("1.2.1",A3:T105,11,FALSE())),ROUND(VLOOKUP("1.2.1",A3:T105,11,FALSE()),4),0) + IF(ISNUMBER(VLOOKUP("1.2.2",A3:T105,11,FALSE())),ROUND(VLOOKUP("1.2.2",A3:T105,11,FALSE()),4),0) + IF(ISNUMBER(VLOOKUP("1.2.x",A3:T105,11,FALSE())),ROUND(VLOOKUP("1.2.x",A3:T105,11,FALSE()),4),0)</f>
        <v>7809906.86</v>
      </c>
      <c r="L12" s="6" t="n">
        <f aca="false">IF(ISNUMBER(VLOOKUP("1.2.1",A3:T105,12,FALSE())),ROUND(VLOOKUP("1.2.1",A3:T105,12,FALSE()),4),0) + IF(ISNUMBER(VLOOKUP("1.2.2",A3:T105,12,FALSE())),ROUND(VLOOKUP("1.2.2",A3:T105,12,FALSE()),4),0) + IF(ISNUMBER(VLOOKUP("1.2.x",A3:T105,12,FALSE())),ROUND(VLOOKUP("1.2.x",A3:T105,12,FALSE()),4),0)</f>
        <v>2529711.43</v>
      </c>
      <c r="M12" s="6" t="n">
        <f aca="false">IF(ISNUMBER(VLOOKUP("1.2.1",A3:T105,13,FALSE())),ROUND(VLOOKUP("1.2.1",A3:T105,13,FALSE()),4),0) + IF(ISNUMBER(VLOOKUP("1.2.2",A3:T105,13,FALSE())),ROUND(VLOOKUP("1.2.2",A3:T105,13,FALSE()),4),0) + IF(ISNUMBER(VLOOKUP("1.2.x",A3:T105,13,FALSE())),ROUND(VLOOKUP("1.2.x",A3:T105,13,FALSE()),4),0)</f>
        <v>529711.43</v>
      </c>
      <c r="N12" s="6" t="n">
        <f aca="false">IF(ISNUMBER(VLOOKUP("1.2.1",A3:T105,14,FALSE())),ROUND(VLOOKUP("1.2.1",A3:T105,14,FALSE()),4),0) + IF(ISNUMBER(VLOOKUP("1.2.2",A3:T105,14,FALSE())),ROUND(VLOOKUP("1.2.2",A3:T105,14,FALSE()),4),0) + IF(ISNUMBER(VLOOKUP("1.2.x",A3:T105,14,FALSE())),ROUND(VLOOKUP("1.2.x",A3:T105,14,FALSE()),4),0)</f>
        <v>529711.43</v>
      </c>
      <c r="O12" s="6" t="n">
        <f aca="false">IF(ISNUMBER(VLOOKUP("1.2.1",A3:T105,15,FALSE())),ROUND(VLOOKUP("1.2.1",A3:T105,15,FALSE()),4),0) + IF(ISNUMBER(VLOOKUP("1.2.2",A3:T105,15,FALSE())),ROUND(VLOOKUP("1.2.2",A3:T105,15,FALSE()),4),0) + IF(ISNUMBER(VLOOKUP("1.2.x",A3:T105,15,FALSE())),ROUND(VLOOKUP("1.2.x",A3:T105,15,FALSE()),4),0)</f>
        <v>529711.43</v>
      </c>
      <c r="P12" s="6" t="n">
        <f aca="false">IF(ISNUMBER(VLOOKUP("1.2.1",A3:T105,16,FALSE())),ROUND(VLOOKUP("1.2.1",A3:T105,16,FALSE()),4),0) + IF(ISNUMBER(VLOOKUP("1.2.2",A3:T105,16,FALSE())),ROUND(VLOOKUP("1.2.2",A3:T105,16,FALSE()),4),0) + IF(ISNUMBER(VLOOKUP("1.2.x",A3:T105,16,FALSE())),ROUND(VLOOKUP("1.2.x",A3:T105,16,FALSE()),4),0)</f>
        <v>529711.43</v>
      </c>
      <c r="Q12" s="6" t="n">
        <f aca="false">IF(ISNUMBER(VLOOKUP("1.2.1",A3:T105,17,FALSE())),ROUND(VLOOKUP("1.2.1",A3:T105,17,FALSE()),4),0) + IF(ISNUMBER(VLOOKUP("1.2.2",A3:T105,17,FALSE())),ROUND(VLOOKUP("1.2.2",A3:T105,17,FALSE()),4),0) + IF(ISNUMBER(VLOOKUP("1.2.x",A3:T105,17,FALSE())),ROUND(VLOOKUP("1.2.x",A3:T105,17,FALSE()),4),0)</f>
        <v>329711.43</v>
      </c>
      <c r="R12" s="6" t="n">
        <f aca="false">IF(ISNUMBER(VLOOKUP("1.2.1",A3:T105,18,FALSE())),ROUND(VLOOKUP("1.2.1",A3:T105,18,FALSE()),4),0) + IF(ISNUMBER(VLOOKUP("1.2.2",A3:T105,18,FALSE())),ROUND(VLOOKUP("1.2.2",A3:T105,18,FALSE()),4),0) + IF(ISNUMBER(VLOOKUP("1.2.x",A3:T105,18,FALSE())),ROUND(VLOOKUP("1.2.x",A3:T105,18,FALSE()),4),0)</f>
        <v>329711.43</v>
      </c>
      <c r="S12" s="6" t="n">
        <f aca="false">IF(ISNUMBER(VLOOKUP("1.2.1",A3:T105,19,FALSE())),ROUND(VLOOKUP("1.2.1",A3:T105,19,FALSE()),4),0) + IF(ISNUMBER(VLOOKUP("1.2.2",A3:T105,19,FALSE())),ROUND(VLOOKUP("1.2.2",A3:T105,19,FALSE()),4),0) + IF(ISNUMBER(VLOOKUP("1.2.x",A3:T105,19,FALSE())),ROUND(VLOOKUP("1.2.x",A3:T105,19,FALSE()),4),0)</f>
        <v>329711.43</v>
      </c>
      <c r="T12" s="6" t="n">
        <f aca="false">IF(ISNUMBER(VLOOKUP("1.2.1",A3:T105,20,FALSE())),ROUND(VLOOKUP("1.2.1",A3:T105,20,FALSE()),4),0) + IF(ISNUMBER(VLOOKUP("1.2.2",A3:T105,20,FALSE())),ROUND(VLOOKUP("1.2.2",A3:T105,20,FALSE()),4),0) + IF(ISNUMBER(VLOOKUP("1.2.x",A3:T105,20,FALSE())),ROUND(VLOOKUP("1.2.x",A3:T105,20,FALSE()),4),0)</f>
        <v>329711.44</v>
      </c>
    </row>
    <row r="13" customFormat="false" ht="14.25" hidden="false" customHeight="true" outlineLevel="0" collapsed="false">
      <c r="A13" s="7" t="s">
        <v>41</v>
      </c>
      <c r="B13" s="8" t="s">
        <v>42</v>
      </c>
      <c r="C13" s="9" t="n">
        <v>34374.36</v>
      </c>
      <c r="D13" s="9" t="n">
        <v>21416.94</v>
      </c>
      <c r="E13" s="9" t="n">
        <v>618445.37</v>
      </c>
      <c r="F13" s="9" t="n">
        <v>626627.71</v>
      </c>
      <c r="G13" s="9" t="n">
        <v>854784.82</v>
      </c>
      <c r="H13" s="9" t="n">
        <v>222064.28</v>
      </c>
      <c r="I13" s="9" t="n">
        <v>240000</v>
      </c>
      <c r="J13" s="9" t="n">
        <v>906606.15</v>
      </c>
      <c r="K13" s="10" t="n">
        <v>1090258.17</v>
      </c>
      <c r="L13" s="10" t="n">
        <v>500000</v>
      </c>
      <c r="M13" s="10" t="n">
        <v>500000</v>
      </c>
      <c r="N13" s="10" t="n">
        <v>500000</v>
      </c>
      <c r="O13" s="10" t="n">
        <v>500000</v>
      </c>
      <c r="P13" s="10" t="n">
        <v>500000</v>
      </c>
      <c r="Q13" s="10" t="n">
        <v>300000</v>
      </c>
      <c r="R13" s="10" t="n">
        <v>300000</v>
      </c>
      <c r="S13" s="10" t="n">
        <v>300000</v>
      </c>
      <c r="T13" s="10" t="n">
        <v>300000</v>
      </c>
    </row>
    <row r="14" customFormat="false" ht="14.25" hidden="false" customHeight="true" outlineLevel="0" collapsed="false">
      <c r="A14" s="7" t="s">
        <v>43</v>
      </c>
      <c r="B14" s="8" t="s">
        <v>44</v>
      </c>
      <c r="C14" s="9" t="n">
        <v>3237483.27</v>
      </c>
      <c r="D14" s="9" t="n">
        <v>1252155.46</v>
      </c>
      <c r="E14" s="9" t="n">
        <v>310241.84</v>
      </c>
      <c r="F14" s="9" t="n">
        <v>471008</v>
      </c>
      <c r="G14" s="9" t="n">
        <v>3562468</v>
      </c>
      <c r="H14" s="9" t="n">
        <v>6099145.3</v>
      </c>
      <c r="I14" s="9" t="n">
        <v>9557675.11</v>
      </c>
      <c r="J14" s="9" t="n">
        <v>8617186.77</v>
      </c>
      <c r="K14" s="10" t="n">
        <v>6711648.69</v>
      </c>
      <c r="L14" s="10" t="n">
        <v>2029711.43</v>
      </c>
      <c r="M14" s="10" t="n">
        <v>29711.43</v>
      </c>
      <c r="N14" s="10" t="n">
        <v>29711.43</v>
      </c>
      <c r="O14" s="10" t="n">
        <v>29711.43</v>
      </c>
      <c r="P14" s="10" t="n">
        <v>29711.43</v>
      </c>
      <c r="Q14" s="10" t="n">
        <v>29711.43</v>
      </c>
      <c r="R14" s="10" t="n">
        <v>29711.43</v>
      </c>
      <c r="S14" s="10" t="n">
        <v>29711.43</v>
      </c>
      <c r="T14" s="10" t="n">
        <v>29711.44</v>
      </c>
    </row>
    <row r="15" customFormat="false" ht="15" hidden="true" customHeight="false" outlineLevel="0" collapsed="false">
      <c r="A15" s="7" t="s">
        <v>45</v>
      </c>
      <c r="B15" s="8" t="s">
        <v>38</v>
      </c>
      <c r="C15" s="9" t="n">
        <v>2045.9</v>
      </c>
      <c r="D15" s="9" t="n">
        <v>3195.82</v>
      </c>
      <c r="E15" s="9" t="n">
        <v>1711.5</v>
      </c>
      <c r="F15" s="9" t="n">
        <v>4648.11</v>
      </c>
      <c r="G15" s="9" t="n">
        <v>2323.15</v>
      </c>
      <c r="H15" s="9" t="n">
        <v>7249.26</v>
      </c>
      <c r="I15" s="9" t="n">
        <v>7000</v>
      </c>
      <c r="J15" s="9" t="n">
        <v>3847.75</v>
      </c>
      <c r="K15" s="10" t="n">
        <v>8000</v>
      </c>
      <c r="L15" s="10" t="n">
        <v>0</v>
      </c>
      <c r="M15" s="10" t="n">
        <v>0</v>
      </c>
      <c r="N15" s="10" t="n">
        <v>0</v>
      </c>
      <c r="O15" s="10" t="n">
        <v>0</v>
      </c>
      <c r="P15" s="10" t="n">
        <v>0</v>
      </c>
      <c r="Q15" s="10" t="n">
        <v>0</v>
      </c>
      <c r="R15" s="10" t="n">
        <v>0</v>
      </c>
      <c r="S15" s="10" t="n">
        <v>0</v>
      </c>
      <c r="T15" s="10" t="n">
        <v>0</v>
      </c>
    </row>
    <row r="16" customFormat="false" ht="14.25" hidden="false" customHeight="true" outlineLevel="0" collapsed="false">
      <c r="A16" s="3" t="s">
        <v>46</v>
      </c>
      <c r="B16" s="4" t="s">
        <v>47</v>
      </c>
      <c r="C16" s="5" t="n">
        <f aca="false">IF(ISNUMBER(VLOOKUP("2.1",A3:T105,3,FALSE())),ROUND(VLOOKUP("2.1",A3:T105,3,FALSE()),4),0) + IF(ISNUMBER(VLOOKUP("2.2",A3:T105,3,FALSE())),ROUND(VLOOKUP("2.2",A3:T105,3,FALSE()),4),0)</f>
        <v>15896214.76</v>
      </c>
      <c r="D16" s="5" t="n">
        <f aca="false">IF(ISNUMBER(VLOOKUP("2.1",A3:T105,4,FALSE())),ROUND(VLOOKUP("2.1",A3:T105,4,FALSE()),4),0) + IF(ISNUMBER(VLOOKUP("2.2",A3:T105,4,FALSE())),ROUND(VLOOKUP("2.2",A3:T105,4,FALSE()),4),0)</f>
        <v>17201999.26</v>
      </c>
      <c r="E16" s="5" t="n">
        <f aca="false">IF(ISNUMBER(VLOOKUP("2.1",A3:T105,5,FALSE())),ROUND(VLOOKUP("2.1",A3:T105,5,FALSE()),4),0) + IF(ISNUMBER(VLOOKUP("2.2",A3:T105,5,FALSE())),ROUND(VLOOKUP("2.2",A3:T105,5,FALSE()),4),0)</f>
        <v>17453007.13</v>
      </c>
      <c r="F16" s="5" t="n">
        <f aca="false">IF(ISNUMBER(VLOOKUP("2.1",A3:T105,6,FALSE())),ROUND(VLOOKUP("2.1",A3:T105,6,FALSE()),4),0) + IF(ISNUMBER(VLOOKUP("2.2",A3:T105,6,FALSE())),ROUND(VLOOKUP("2.2",A3:T105,6,FALSE()),4),0)</f>
        <v>20017806.06</v>
      </c>
      <c r="G16" s="5" t="n">
        <f aca="false">IF(ISNUMBER(VLOOKUP("2.1",A3:T105,7,FALSE())),ROUND(VLOOKUP("2.1",A3:T105,7,FALSE()),4),0) + IF(ISNUMBER(VLOOKUP("2.2",A3:T105,7,FALSE())),ROUND(VLOOKUP("2.2",A3:T105,7,FALSE()),4),0)</f>
        <v>22082259.14</v>
      </c>
      <c r="H16" s="5" t="n">
        <f aca="false">IF(ISNUMBER(VLOOKUP("2.1",A3:T105,8,FALSE())),ROUND(VLOOKUP("2.1",A3:T105,8,FALSE()),4),0) + IF(ISNUMBER(VLOOKUP("2.2",A3:T105,8,FALSE())),ROUND(VLOOKUP("2.2",A3:T105,8,FALSE()),4),0)</f>
        <v>26964356.82</v>
      </c>
      <c r="I16" s="5" t="n">
        <f aca="false">IF(ISNUMBER(VLOOKUP("2.1",A3:T105,9,FALSE())),ROUND(VLOOKUP("2.1",A3:T105,9,FALSE()),4),0) + IF(ISNUMBER(VLOOKUP("2.2",A3:T105,9,FALSE())),ROUND(VLOOKUP("2.2",A3:T105,9,FALSE()),4),0)</f>
        <v>36192514.24</v>
      </c>
      <c r="J16" s="5" t="n">
        <f aca="false">IF(ISNUMBER(VLOOKUP("2.1",A3:T105,10,FALSE())),ROUND(VLOOKUP("2.1",A3:T105,10,FALSE()),4),0) + IF(ISNUMBER(VLOOKUP("2.2",A3:T105,10,FALSE())),ROUND(VLOOKUP("2.2",A3:T105,10,FALSE()),4),0)</f>
        <v>36018867.36</v>
      </c>
      <c r="K16" s="6" t="n">
        <f aca="false">IF(ISNUMBER(VLOOKUP("2.1",A3:T105,11,FALSE())),ROUND(VLOOKUP("2.1",A3:T105,11,FALSE()),4),0) + IF(ISNUMBER(VLOOKUP("2.2",A3:T105,11,FALSE())),ROUND(VLOOKUP("2.2",A3:T105,11,FALSE()),4),0)</f>
        <v>28866043.44</v>
      </c>
      <c r="L16" s="6" t="n">
        <f aca="false">IF(ISNUMBER(VLOOKUP("2.1",A3:T105,12,FALSE())),ROUND(VLOOKUP("2.1",A3:T105,12,FALSE()),4),0) + IF(ISNUMBER(VLOOKUP("2.2",A3:T105,12,FALSE())),ROUND(VLOOKUP("2.2",A3:T105,12,FALSE()),4),0)</f>
        <v>21810054.43</v>
      </c>
      <c r="M16" s="6" t="n">
        <f aca="false">IF(ISNUMBER(VLOOKUP("2.1",A3:T105,13,FALSE())),ROUND(VLOOKUP("2.1",A3:T105,13,FALSE()),4),0) + IF(ISNUMBER(VLOOKUP("2.2",A3:T105,13,FALSE())),ROUND(VLOOKUP("2.2",A3:T105,13,FALSE()),4),0)</f>
        <v>20486584.43</v>
      </c>
      <c r="N16" s="6" t="n">
        <f aca="false">IF(ISNUMBER(VLOOKUP("2.1",A3:T105,14,FALSE())),ROUND(VLOOKUP("2.1",A3:T105,14,FALSE()),4),0) + IF(ISNUMBER(VLOOKUP("2.2",A3:T105,14,FALSE())),ROUND(VLOOKUP("2.2",A3:T105,14,FALSE()),4),0)</f>
        <v>21059376.43</v>
      </c>
      <c r="O16" s="6" t="n">
        <f aca="false">IF(ISNUMBER(VLOOKUP("2.1",A3:T105,15,FALSE())),ROUND(VLOOKUP("2.1",A3:T105,15,FALSE()),4),0) + IF(ISNUMBER(VLOOKUP("2.2",A3:T105,15,FALSE())),ROUND(VLOOKUP("2.2",A3:T105,15,FALSE()),4),0)</f>
        <v>21727177.43</v>
      </c>
      <c r="P16" s="6" t="n">
        <f aca="false">IF(ISNUMBER(VLOOKUP("2.1",A3:T105,16,FALSE())),ROUND(VLOOKUP("2.1",A3:T105,16,FALSE()),4),0) + IF(ISNUMBER(VLOOKUP("2.2",A3:T105,16,FALSE())),ROUND(VLOOKUP("2.2",A3:T105,16,FALSE()),4),0)</f>
        <v>22267113.43</v>
      </c>
      <c r="Q16" s="6" t="n">
        <f aca="false">IF(ISNUMBER(VLOOKUP("2.1",A3:T105,17,FALSE())),ROUND(VLOOKUP("2.1",A3:T105,17,FALSE()),4),0) + IF(ISNUMBER(VLOOKUP("2.2",A3:T105,17,FALSE())),ROUND(VLOOKUP("2.2",A3:T105,17,FALSE()),4),0)</f>
        <v>22620549.43</v>
      </c>
      <c r="R16" s="6" t="n">
        <f aca="false">IF(ISNUMBER(VLOOKUP("2.1",A3:T105,18,FALSE())),ROUND(VLOOKUP("2.1",A3:T105,18,FALSE()),4),0) + IF(ISNUMBER(VLOOKUP("2.2",A3:T105,18,FALSE())),ROUND(VLOOKUP("2.2",A3:T105,18,FALSE()),4),0)</f>
        <v>23187820.43</v>
      </c>
      <c r="S16" s="6" t="n">
        <f aca="false">IF(ISNUMBER(VLOOKUP("2.1",A3:T105,19,FALSE())),ROUND(VLOOKUP("2.1",A3:T105,19,FALSE()),4),0) + IF(ISNUMBER(VLOOKUP("2.2",A3:T105,19,FALSE())),ROUND(VLOOKUP("2.2",A3:T105,19,FALSE()),4),0)</f>
        <v>23769273.43</v>
      </c>
      <c r="T16" s="6" t="n">
        <f aca="false">IF(ISNUMBER(VLOOKUP("2.1",A3:T105,20,FALSE())),ROUND(VLOOKUP("2.1",A3:T105,20,FALSE()),4),0) + IF(ISNUMBER(VLOOKUP("2.2",A3:T105,20,FALSE())),ROUND(VLOOKUP("2.2",A3:T105,20,FALSE()),4),0)</f>
        <v>24365262.44</v>
      </c>
    </row>
    <row r="17" customFormat="false" ht="14.25" hidden="false" customHeight="true" outlineLevel="0" collapsed="false">
      <c r="A17" s="3" t="s">
        <v>48</v>
      </c>
      <c r="B17" s="4" t="s">
        <v>49</v>
      </c>
      <c r="C17" s="5" t="n">
        <f aca="false">IF(ISNUMBER(VLOOKUP("2.1.1",A3:T105,3,FALSE())),ROUND(VLOOKUP("2.1.1",A3:T105,3,FALSE()),4),0) + IF(ISNUMBER(VLOOKUP("2.1.2",A3:T105,3,FALSE())),ROUND(VLOOKUP("2.1.2",A3:T105,3,FALSE()),4),0) + IF(ISNUMBER(VLOOKUP("2.1.3",A3:T105,3,FALSE())),ROUND(VLOOKUP("2.1.3",A3:T105,3,FALSE()),4),0) + IF(ISNUMBER(VLOOKUP("2.1.x",A3:T105,3,FALSE())),ROUND(VLOOKUP("2.1.x",A3:T105,3,FALSE()),4),0)</f>
        <v>14540110.09</v>
      </c>
      <c r="D17" s="5" t="n">
        <f aca="false">IF(ISNUMBER(VLOOKUP("2.1.1",A3:T105,4,FALSE())),ROUND(VLOOKUP("2.1.1",A3:T105,4,FALSE()),4),0) + IF(ISNUMBER(VLOOKUP("2.1.2",A3:T105,4,FALSE())),ROUND(VLOOKUP("2.1.2",A3:T105,4,FALSE()),4),0) + IF(ISNUMBER(VLOOKUP("2.1.3",A3:T105,4,FALSE())),ROUND(VLOOKUP("2.1.3",A3:T105,4,FALSE()),4),0) + IF(ISNUMBER(VLOOKUP("2.1.x",A3:T105,4,FALSE())),ROUND(VLOOKUP("2.1.x",A3:T105,4,FALSE()),4),0)</f>
        <v>15401802.74</v>
      </c>
      <c r="E17" s="5" t="n">
        <f aca="false">IF(ISNUMBER(VLOOKUP("2.1.1",A3:T105,5,FALSE())),ROUND(VLOOKUP("2.1.1",A3:T105,5,FALSE()),4),0) + IF(ISNUMBER(VLOOKUP("2.1.2",A3:T105,5,FALSE())),ROUND(VLOOKUP("2.1.2",A3:T105,5,FALSE()),4),0) + IF(ISNUMBER(VLOOKUP("2.1.3",A3:T105,5,FALSE())),ROUND(VLOOKUP("2.1.3",A3:T105,5,FALSE()),4),0) + IF(ISNUMBER(VLOOKUP("2.1.x",A3:T105,5,FALSE())),ROUND(VLOOKUP("2.1.x",A3:T105,5,FALSE()),4),0)</f>
        <v>15782294.9</v>
      </c>
      <c r="F17" s="5" t="n">
        <f aca="false">IF(ISNUMBER(VLOOKUP("2.1.1",A3:T105,6,FALSE())),ROUND(VLOOKUP("2.1.1",A3:T105,6,FALSE()),4),0) + IF(ISNUMBER(VLOOKUP("2.1.2",A3:T105,6,FALSE())),ROUND(VLOOKUP("2.1.2",A3:T105,6,FALSE()),4),0) + IF(ISNUMBER(VLOOKUP("2.1.3",A3:T105,6,FALSE())),ROUND(VLOOKUP("2.1.3",A3:T105,6,FALSE()),4),0) + IF(ISNUMBER(VLOOKUP("2.1.x",A3:T105,6,FALSE())),ROUND(VLOOKUP("2.1.x",A3:T105,6,FALSE()),4),0)</f>
        <v>18128305.02</v>
      </c>
      <c r="G17" s="5" t="n">
        <f aca="false">IF(ISNUMBER(VLOOKUP("2.1.1",A3:T105,7,FALSE())),ROUND(VLOOKUP("2.1.1",A3:T105,7,FALSE()),4),0) + IF(ISNUMBER(VLOOKUP("2.1.2",A3:T105,7,FALSE())),ROUND(VLOOKUP("2.1.2",A3:T105,7,FALSE()),4),0) + IF(ISNUMBER(VLOOKUP("2.1.3",A3:T105,7,FALSE())),ROUND(VLOOKUP("2.1.3",A3:T105,7,FALSE()),4),0) + IF(ISNUMBER(VLOOKUP("2.1.x",A3:T105,7,FALSE())),ROUND(VLOOKUP("2.1.x",A3:T105,7,FALSE()),4),0)</f>
        <v>15181548.87</v>
      </c>
      <c r="H17" s="5" t="n">
        <f aca="false">IF(ISNUMBER(VLOOKUP("2.1.1",A3:T105,8,FALSE())),ROUND(VLOOKUP("2.1.1",A3:T105,8,FALSE()),4),0) + IF(ISNUMBER(VLOOKUP("2.1.2",A3:T105,8,FALSE())),ROUND(VLOOKUP("2.1.2",A3:T105,8,FALSE()),4),0) + IF(ISNUMBER(VLOOKUP("2.1.3",A3:T105,8,FALSE())),ROUND(VLOOKUP("2.1.3",A3:T105,8,FALSE()),4),0) + IF(ISNUMBER(VLOOKUP("2.1.x",A3:T105,8,FALSE())),ROUND(VLOOKUP("2.1.x",A3:T105,8,FALSE()),4),0)</f>
        <v>18205961.92</v>
      </c>
      <c r="I17" s="5" t="n">
        <f aca="false">IF(ISNUMBER(VLOOKUP("2.1.1",A3:T105,9,FALSE())),ROUND(VLOOKUP("2.1.1",A3:T105,9,FALSE()),4),0) + IF(ISNUMBER(VLOOKUP("2.1.2",A3:T105,9,FALSE())),ROUND(VLOOKUP("2.1.2",A3:T105,9,FALSE()),4),0) + IF(ISNUMBER(VLOOKUP("2.1.3",A3:T105,9,FALSE())),ROUND(VLOOKUP("2.1.3",A3:T105,9,FALSE()),4),0) + IF(ISNUMBER(VLOOKUP("2.1.x",A3:T105,9,FALSE())),ROUND(VLOOKUP("2.1.x",A3:T105,9,FALSE()),4),0)</f>
        <v>19340947.98</v>
      </c>
      <c r="J17" s="5" t="n">
        <f aca="false">IF(ISNUMBER(VLOOKUP("2.1.1",A3:T105,10,FALSE())),ROUND(VLOOKUP("2.1.1",A3:T105,10,FALSE()),4),0) + IF(ISNUMBER(VLOOKUP("2.1.2",A3:T105,10,FALSE())),ROUND(VLOOKUP("2.1.2",A3:T105,10,FALSE()),4),0) + IF(ISNUMBER(VLOOKUP("2.1.3",A3:T105,10,FALSE())),ROUND(VLOOKUP("2.1.3",A3:T105,10,FALSE()),4),0) + IF(ISNUMBER(VLOOKUP("2.1.x",A3:T105,10,FALSE())),ROUND(VLOOKUP("2.1.x",A3:T105,10,FALSE()),4),0)</f>
        <v>19808890.3</v>
      </c>
      <c r="K17" s="6" t="n">
        <f aca="false">IF(ISNUMBER(VLOOKUP("2.1.1",A3:T105,11,FALSE())),ROUND(VLOOKUP("2.1.1",A3:T105,11,FALSE()),4),0) + IF(ISNUMBER(VLOOKUP("2.1.2",A3:T105,11,FALSE())),ROUND(VLOOKUP("2.1.2",A3:T105,11,FALSE()),4),0) + IF(ISNUMBER(VLOOKUP("2.1.3",A3:T105,11,FALSE())),ROUND(VLOOKUP("2.1.3",A3:T105,11,FALSE()),4),0) + IF(ISNUMBER(VLOOKUP("2.1.x",A3:T105,11,FALSE())),ROUND(VLOOKUP("2.1.x",A3:T105,11,FALSE()),4),0)</f>
        <v>20485143.44</v>
      </c>
      <c r="L17" s="6" t="n">
        <f aca="false">IF(ISNUMBER(VLOOKUP("2.1.1",A3:T105,12,FALSE())),ROUND(VLOOKUP("2.1.1",A3:T105,12,FALSE()),4),0) + IF(ISNUMBER(VLOOKUP("2.1.2",A3:T105,12,FALSE())),ROUND(VLOOKUP("2.1.2",A3:T105,12,FALSE()),4),0) + IF(ISNUMBER(VLOOKUP("2.1.3",A3:T105,12,FALSE())),ROUND(VLOOKUP("2.1.3",A3:T105,12,FALSE()),4),0) + IF(ISNUMBER(VLOOKUP("2.1.x",A3:T105,12,FALSE())),ROUND(VLOOKUP("2.1.x",A3:T105,12,FALSE()),4),0)</f>
        <v>19342196.43</v>
      </c>
      <c r="M17" s="6" t="n">
        <f aca="false">IF(ISNUMBER(VLOOKUP("2.1.1",A3:T105,13,FALSE())),ROUND(VLOOKUP("2.1.1",A3:T105,13,FALSE()),4),0) + IF(ISNUMBER(VLOOKUP("2.1.2",A3:T105,13,FALSE())),ROUND(VLOOKUP("2.1.2",A3:T105,13,FALSE()),4),0) + IF(ISNUMBER(VLOOKUP("2.1.3",A3:T105,13,FALSE())),ROUND(VLOOKUP("2.1.3",A3:T105,13,FALSE()),4),0) + IF(ISNUMBER(VLOOKUP("2.1.x",A3:T105,13,FALSE())),ROUND(VLOOKUP("2.1.x",A3:T105,13,FALSE()),4),0)</f>
        <v>19945224.43</v>
      </c>
      <c r="N17" s="6" t="n">
        <f aca="false">IF(ISNUMBER(VLOOKUP("2.1.1",A3:T105,14,FALSE())),ROUND(VLOOKUP("2.1.1",A3:T105,14,FALSE()),4),0) + IF(ISNUMBER(VLOOKUP("2.1.2",A3:T105,14,FALSE())),ROUND(VLOOKUP("2.1.2",A3:T105,14,FALSE()),4),0) + IF(ISNUMBER(VLOOKUP("2.1.3",A3:T105,14,FALSE())),ROUND(VLOOKUP("2.1.3",A3:T105,14,FALSE()),4),0) + IF(ISNUMBER(VLOOKUP("2.1.x",A3:T105,14,FALSE())),ROUND(VLOOKUP("2.1.x",A3:T105,14,FALSE()),4),0)</f>
        <v>20549426.43</v>
      </c>
      <c r="O17" s="6" t="n">
        <f aca="false">IF(ISNUMBER(VLOOKUP("2.1.1",A3:T105,15,FALSE())),ROUND(VLOOKUP("2.1.1",A3:T105,15,FALSE()),4),0) + IF(ISNUMBER(VLOOKUP("2.1.2",A3:T105,15,FALSE())),ROUND(VLOOKUP("2.1.2",A3:T105,15,FALSE()),4),0) + IF(ISNUMBER(VLOOKUP("2.1.3",A3:T105,15,FALSE())),ROUND(VLOOKUP("2.1.3",A3:T105,15,FALSE()),4),0) + IF(ISNUMBER(VLOOKUP("2.1.x",A3:T105,15,FALSE())),ROUND(VLOOKUP("2.1.x",A3:T105,15,FALSE()),4),0)</f>
        <v>21075811.43</v>
      </c>
      <c r="P17" s="6" t="n">
        <f aca="false">IF(ISNUMBER(VLOOKUP("2.1.1",A3:T105,16,FALSE())),ROUND(VLOOKUP("2.1.1",A3:T105,16,FALSE()),4),0) + IF(ISNUMBER(VLOOKUP("2.1.2",A3:T105,16,FALSE())),ROUND(VLOOKUP("2.1.2",A3:T105,16,FALSE()),4),0) + IF(ISNUMBER(VLOOKUP("2.1.3",A3:T105,16,FALSE())),ROUND(VLOOKUP("2.1.3",A3:T105,16,FALSE()),4),0) + IF(ISNUMBER(VLOOKUP("2.1.x",A3:T105,16,FALSE())),ROUND(VLOOKUP("2.1.x",A3:T105,16,FALSE()),4),0)</f>
        <v>21608932.43</v>
      </c>
      <c r="Q17" s="6" t="n">
        <f aca="false">IF(ISNUMBER(VLOOKUP("2.1.1",A3:T105,17,FALSE())),ROUND(VLOOKUP("2.1.1",A3:T105,17,FALSE()),4),0) + IF(ISNUMBER(VLOOKUP("2.1.2",A3:T105,17,FALSE())),ROUND(VLOOKUP("2.1.2",A3:T105,17,FALSE()),4),0) + IF(ISNUMBER(VLOOKUP("2.1.3",A3:T105,17,FALSE())),ROUND(VLOOKUP("2.1.3",A3:T105,17,FALSE()),4),0) + IF(ISNUMBER(VLOOKUP("2.1.x",A3:T105,17,FALSE())),ROUND(VLOOKUP("2.1.x",A3:T105,17,FALSE()),4),0)</f>
        <v>22145640.43</v>
      </c>
      <c r="R17" s="6" t="n">
        <f aca="false">IF(ISNUMBER(VLOOKUP("2.1.1",A3:T105,18,FALSE())),ROUND(VLOOKUP("2.1.1",A3:T105,18,FALSE()),4),0) + IF(ISNUMBER(VLOOKUP("2.1.2",A3:T105,18,FALSE())),ROUND(VLOOKUP("2.1.2",A3:T105,18,FALSE()),4),0) + IF(ISNUMBER(VLOOKUP("2.1.3",A3:T105,18,FALSE())),ROUND(VLOOKUP("2.1.3",A3:T105,18,FALSE()),4),0) + IF(ISNUMBER(VLOOKUP("2.1.x",A3:T105,18,FALSE())),ROUND(VLOOKUP("2.1.x",A3:T105,18,FALSE()),4),0)</f>
        <v>22681898.43</v>
      </c>
      <c r="S17" s="6" t="n">
        <f aca="false">IF(ISNUMBER(VLOOKUP("2.1.1",A3:T105,19,FALSE())),ROUND(VLOOKUP("2.1.1",A3:T105,19,FALSE()),4),0) + IF(ISNUMBER(VLOOKUP("2.1.2",A3:T105,19,FALSE())),ROUND(VLOOKUP("2.1.2",A3:T105,19,FALSE()),4),0) + IF(ISNUMBER(VLOOKUP("2.1.3",A3:T105,19,FALSE())),ROUND(VLOOKUP("2.1.3",A3:T105,19,FALSE()),4),0) + IF(ISNUMBER(VLOOKUP("2.1.x",A3:T105,19,FALSE())),ROUND(VLOOKUP("2.1.x",A3:T105,19,FALSE()),4),0)</f>
        <v>23227669.43</v>
      </c>
      <c r="T17" s="6" t="n">
        <f aca="false">IF(ISNUMBER(VLOOKUP("2.1.1",A3:T105,20,FALSE())),ROUND(VLOOKUP("2.1.1",A3:T105,20,FALSE()),4),0) + IF(ISNUMBER(VLOOKUP("2.1.2",A3:T105,20,FALSE())),ROUND(VLOOKUP("2.1.2",A3:T105,20,FALSE()),4),0) + IF(ISNUMBER(VLOOKUP("2.1.3",A3:T105,20,FALSE())),ROUND(VLOOKUP("2.1.3",A3:T105,20,FALSE()),4),0) + IF(ISNUMBER(VLOOKUP("2.1.x",A3:T105,20,FALSE())),ROUND(VLOOKUP("2.1.x",A3:T105,20,FALSE()),4),0)</f>
        <v>23782949.43</v>
      </c>
    </row>
    <row r="18" customFormat="false" ht="14.25" hidden="false" customHeight="true" outlineLevel="0" collapsed="false">
      <c r="A18" s="7" t="s">
        <v>50</v>
      </c>
      <c r="B18" s="8" t="s">
        <v>51</v>
      </c>
      <c r="C18" s="9" t="n">
        <v>5196126.22</v>
      </c>
      <c r="D18" s="9" t="n">
        <v>5106732.47</v>
      </c>
      <c r="E18" s="9" t="n">
        <v>5532528.62</v>
      </c>
      <c r="F18" s="9" t="n">
        <v>5873600.4</v>
      </c>
      <c r="G18" s="9" t="n">
        <v>6337280.76</v>
      </c>
      <c r="H18" s="9" t="n">
        <v>7897444.59</v>
      </c>
      <c r="I18" s="9" t="n">
        <v>8930573.09</v>
      </c>
      <c r="J18" s="9" t="n">
        <v>9264116.49</v>
      </c>
      <c r="K18" s="10" t="n">
        <v>9881450.65</v>
      </c>
      <c r="L18" s="10" t="n">
        <v>9920837</v>
      </c>
      <c r="M18" s="10" t="n">
        <v>10327591</v>
      </c>
      <c r="N18" s="10" t="n">
        <v>10736564</v>
      </c>
      <c r="O18" s="10" t="n">
        <v>11050072</v>
      </c>
      <c r="P18" s="10" t="n">
        <v>11361684</v>
      </c>
      <c r="Q18" s="10" t="n">
        <v>11670722</v>
      </c>
      <c r="R18" s="10" t="n">
        <v>11972994</v>
      </c>
      <c r="S18" s="10" t="n">
        <v>12278305</v>
      </c>
      <c r="T18" s="10" t="n">
        <v>12586490</v>
      </c>
    </row>
    <row r="19" customFormat="false" ht="14.25" hidden="false" customHeight="true" outlineLevel="0" collapsed="false">
      <c r="A19" s="7" t="s">
        <v>52</v>
      </c>
      <c r="B19" s="8" t="s">
        <v>53</v>
      </c>
      <c r="C19" s="11" t="n">
        <v>0</v>
      </c>
      <c r="D19" s="11" t="n">
        <v>0</v>
      </c>
      <c r="E19" s="11" t="n">
        <v>0</v>
      </c>
      <c r="F19" s="11" t="n">
        <v>0</v>
      </c>
      <c r="G19" s="11" t="n">
        <v>0</v>
      </c>
      <c r="H19" s="11" t="n">
        <v>0</v>
      </c>
      <c r="I19" s="11" t="n">
        <v>0</v>
      </c>
      <c r="J19" s="11" t="n">
        <v>0</v>
      </c>
      <c r="K19" s="12" t="n">
        <v>0</v>
      </c>
      <c r="L19" s="12" t="n">
        <v>29711.43</v>
      </c>
      <c r="M19" s="12" t="n">
        <v>29711.43</v>
      </c>
      <c r="N19" s="12" t="n">
        <v>29711.43</v>
      </c>
      <c r="O19" s="12" t="n">
        <v>29711.43</v>
      </c>
      <c r="P19" s="12" t="n">
        <v>29711.43</v>
      </c>
      <c r="Q19" s="12" t="n">
        <v>29711.43</v>
      </c>
      <c r="R19" s="12" t="n">
        <v>29711.43</v>
      </c>
      <c r="S19" s="12" t="n">
        <v>29711.43</v>
      </c>
      <c r="T19" s="12" t="n">
        <v>29711.43</v>
      </c>
    </row>
    <row r="20" customFormat="false" ht="27" hidden="false" customHeight="true" outlineLevel="0" collapsed="false">
      <c r="A20" s="7" t="s">
        <v>54</v>
      </c>
      <c r="B20" s="8" t="s">
        <v>55</v>
      </c>
      <c r="C20" s="11" t="n">
        <v>0</v>
      </c>
      <c r="D20" s="11" t="n">
        <v>0</v>
      </c>
      <c r="E20" s="11" t="n">
        <v>0</v>
      </c>
      <c r="F20" s="11" t="n">
        <v>0</v>
      </c>
      <c r="G20" s="11" t="n">
        <v>0</v>
      </c>
      <c r="H20" s="11" t="n">
        <v>0</v>
      </c>
      <c r="I20" s="11" t="n">
        <v>0</v>
      </c>
      <c r="J20" s="11" t="n">
        <v>0</v>
      </c>
      <c r="K20" s="12" t="n">
        <v>0</v>
      </c>
      <c r="L20" s="12" t="n">
        <v>0</v>
      </c>
      <c r="M20" s="12" t="n">
        <v>0</v>
      </c>
      <c r="N20" s="12" t="n">
        <v>0</v>
      </c>
      <c r="O20" s="12" t="n">
        <v>0</v>
      </c>
      <c r="P20" s="12" t="n">
        <v>0</v>
      </c>
      <c r="Q20" s="12" t="n">
        <v>0</v>
      </c>
      <c r="R20" s="12" t="n">
        <v>0</v>
      </c>
      <c r="S20" s="12" t="n">
        <v>0</v>
      </c>
      <c r="T20" s="12" t="n">
        <v>0</v>
      </c>
    </row>
    <row r="21" customFormat="false" ht="14.25" hidden="false" customHeight="true" outlineLevel="0" collapsed="false">
      <c r="A21" s="7" t="s">
        <v>56</v>
      </c>
      <c r="B21" s="8" t="s">
        <v>57</v>
      </c>
      <c r="C21" s="11" t="n">
        <v>120088.19</v>
      </c>
      <c r="D21" s="11" t="n">
        <v>68047.82</v>
      </c>
      <c r="E21" s="11" t="n">
        <v>36469.64</v>
      </c>
      <c r="F21" s="11" t="n">
        <v>171557.9</v>
      </c>
      <c r="G21" s="11" t="n">
        <v>116034.69</v>
      </c>
      <c r="H21" s="11" t="n">
        <v>55354.51</v>
      </c>
      <c r="I21" s="11" t="n">
        <v>50000</v>
      </c>
      <c r="J21" s="11" t="n">
        <v>39963.08</v>
      </c>
      <c r="K21" s="12" t="n">
        <v>300000</v>
      </c>
      <c r="L21" s="12" t="n">
        <v>227880</v>
      </c>
      <c r="M21" s="12" t="n">
        <v>195060</v>
      </c>
      <c r="N21" s="12" t="n">
        <v>164860</v>
      </c>
      <c r="O21" s="12" t="n">
        <v>137280</v>
      </c>
      <c r="P21" s="12" t="n">
        <v>112320</v>
      </c>
      <c r="Q21" s="12" t="n">
        <v>87360</v>
      </c>
      <c r="R21" s="12" t="n">
        <v>62400</v>
      </c>
      <c r="S21" s="12" t="n">
        <v>37440</v>
      </c>
      <c r="T21" s="12" t="n">
        <v>12480</v>
      </c>
    </row>
    <row r="22" customFormat="false" ht="15" hidden="true" customHeight="false" outlineLevel="0" collapsed="false">
      <c r="A22" s="7" t="s">
        <v>58</v>
      </c>
      <c r="B22" s="8" t="s">
        <v>59</v>
      </c>
      <c r="C22" s="11" t="n">
        <v>120088.19</v>
      </c>
      <c r="D22" s="11" t="n">
        <v>68047.82</v>
      </c>
      <c r="E22" s="11" t="n">
        <v>36469.64</v>
      </c>
      <c r="F22" s="11" t="n">
        <v>171557.9</v>
      </c>
      <c r="G22" s="11" t="n">
        <v>116034.69</v>
      </c>
      <c r="H22" s="11" t="n">
        <v>55354.51</v>
      </c>
      <c r="I22" s="11" t="n">
        <v>50000</v>
      </c>
      <c r="J22" s="11" t="n">
        <v>39963.08</v>
      </c>
      <c r="K22" s="12" t="n">
        <v>300000</v>
      </c>
      <c r="L22" s="12" t="n">
        <v>227880</v>
      </c>
      <c r="M22" s="12" t="n">
        <v>195060</v>
      </c>
      <c r="N22" s="12" t="n">
        <v>164860</v>
      </c>
      <c r="O22" s="12" t="n">
        <v>137280</v>
      </c>
      <c r="P22" s="12" t="n">
        <v>112320</v>
      </c>
      <c r="Q22" s="12" t="n">
        <v>87360</v>
      </c>
      <c r="R22" s="12" t="n">
        <v>62400</v>
      </c>
      <c r="S22" s="12" t="n">
        <v>37440</v>
      </c>
      <c r="T22" s="12" t="n">
        <v>12480</v>
      </c>
    </row>
    <row r="23" customFormat="false" ht="65.25" hidden="false" customHeight="true" outlineLevel="0" collapsed="false">
      <c r="A23" s="7" t="s">
        <v>60</v>
      </c>
      <c r="B23" s="8" t="s">
        <v>61</v>
      </c>
      <c r="C23" s="11" t="n">
        <v>0</v>
      </c>
      <c r="D23" s="11" t="n">
        <v>0</v>
      </c>
      <c r="E23" s="11" t="n">
        <v>0</v>
      </c>
      <c r="F23" s="11" t="n">
        <v>0</v>
      </c>
      <c r="G23" s="11" t="n">
        <v>0</v>
      </c>
      <c r="H23" s="11" t="n">
        <v>0</v>
      </c>
      <c r="I23" s="11" t="n">
        <v>0</v>
      </c>
      <c r="J23" s="11" t="n">
        <v>0</v>
      </c>
      <c r="K23" s="12" t="n">
        <v>0</v>
      </c>
      <c r="L23" s="12" t="n">
        <v>0</v>
      </c>
      <c r="M23" s="12" t="n">
        <v>0</v>
      </c>
      <c r="N23" s="12" t="n">
        <v>0</v>
      </c>
      <c r="O23" s="12" t="n">
        <v>0</v>
      </c>
      <c r="P23" s="12" t="n">
        <v>0</v>
      </c>
      <c r="Q23" s="12" t="n">
        <v>0</v>
      </c>
      <c r="R23" s="12" t="n">
        <v>0</v>
      </c>
      <c r="S23" s="12" t="n">
        <v>0</v>
      </c>
      <c r="T23" s="12" t="n">
        <v>0</v>
      </c>
    </row>
    <row r="24" customFormat="false" ht="39.75" hidden="false" customHeight="true" outlineLevel="0" collapsed="false">
      <c r="A24" s="7" t="s">
        <v>62</v>
      </c>
      <c r="B24" s="8" t="s">
        <v>63</v>
      </c>
      <c r="C24" s="11" t="n">
        <v>0</v>
      </c>
      <c r="D24" s="11" t="n">
        <v>0</v>
      </c>
      <c r="E24" s="11" t="n">
        <v>0</v>
      </c>
      <c r="F24" s="11" t="n">
        <v>0</v>
      </c>
      <c r="G24" s="11" t="n">
        <v>0</v>
      </c>
      <c r="H24" s="11" t="n">
        <v>0</v>
      </c>
      <c r="I24" s="11" t="n">
        <v>0</v>
      </c>
      <c r="J24" s="11" t="n">
        <v>0</v>
      </c>
      <c r="K24" s="12" t="n">
        <v>0</v>
      </c>
      <c r="L24" s="12" t="n">
        <v>0</v>
      </c>
      <c r="M24" s="12" t="n">
        <v>0</v>
      </c>
      <c r="N24" s="12" t="n">
        <v>0</v>
      </c>
      <c r="O24" s="12" t="n">
        <v>0</v>
      </c>
      <c r="P24" s="12" t="n">
        <v>0</v>
      </c>
      <c r="Q24" s="12" t="n">
        <v>0</v>
      </c>
      <c r="R24" s="12" t="n">
        <v>0</v>
      </c>
      <c r="S24" s="12" t="n">
        <v>0</v>
      </c>
      <c r="T24" s="12" t="n">
        <v>0</v>
      </c>
    </row>
    <row r="25" customFormat="false" ht="27" hidden="false" customHeight="true" outlineLevel="0" collapsed="false">
      <c r="A25" s="7" t="s">
        <v>64</v>
      </c>
      <c r="B25" s="8" t="s">
        <v>65</v>
      </c>
      <c r="C25" s="11" t="n">
        <v>0</v>
      </c>
      <c r="D25" s="11" t="n">
        <v>0</v>
      </c>
      <c r="E25" s="11" t="n">
        <v>0</v>
      </c>
      <c r="F25" s="11" t="n">
        <v>0</v>
      </c>
      <c r="G25" s="11" t="n">
        <v>0</v>
      </c>
      <c r="H25" s="11" t="n">
        <v>0</v>
      </c>
      <c r="I25" s="11" t="n">
        <v>0</v>
      </c>
      <c r="J25" s="11" t="n">
        <v>0</v>
      </c>
      <c r="K25" s="12" t="n">
        <v>0</v>
      </c>
      <c r="L25" s="12" t="n">
        <v>0</v>
      </c>
      <c r="M25" s="12" t="n">
        <v>0</v>
      </c>
      <c r="N25" s="12" t="n">
        <v>0</v>
      </c>
      <c r="O25" s="12" t="n">
        <v>0</v>
      </c>
      <c r="P25" s="12" t="n">
        <v>0</v>
      </c>
      <c r="Q25" s="12" t="n">
        <v>0</v>
      </c>
      <c r="R25" s="12" t="n">
        <v>0</v>
      </c>
      <c r="S25" s="12" t="n">
        <v>0</v>
      </c>
      <c r="T25" s="12" t="n">
        <v>0</v>
      </c>
    </row>
    <row r="26" customFormat="false" ht="15" hidden="true" customHeight="false" outlineLevel="0" collapsed="false">
      <c r="A26" s="7" t="s">
        <v>66</v>
      </c>
      <c r="B26" s="8" t="s">
        <v>38</v>
      </c>
      <c r="C26" s="9" t="n">
        <v>9223895.68</v>
      </c>
      <c r="D26" s="9" t="n">
        <v>10227022.45</v>
      </c>
      <c r="E26" s="9" t="n">
        <v>10213296.64</v>
      </c>
      <c r="F26" s="9" t="n">
        <v>12083146.72</v>
      </c>
      <c r="G26" s="9" t="n">
        <v>8728233.42</v>
      </c>
      <c r="H26" s="9" t="n">
        <v>10253162.82</v>
      </c>
      <c r="I26" s="9" t="n">
        <v>10360374.89</v>
      </c>
      <c r="J26" s="9" t="n">
        <v>10504810.73</v>
      </c>
      <c r="K26" s="10" t="n">
        <v>10303692.79</v>
      </c>
      <c r="L26" s="10" t="n">
        <v>9163768</v>
      </c>
      <c r="M26" s="10" t="n">
        <v>9392862</v>
      </c>
      <c r="N26" s="10" t="n">
        <v>9618291</v>
      </c>
      <c r="O26" s="10" t="n">
        <v>9858748</v>
      </c>
      <c r="P26" s="10" t="n">
        <v>10105217</v>
      </c>
      <c r="Q26" s="10" t="n">
        <v>10357847</v>
      </c>
      <c r="R26" s="10" t="n">
        <v>10616793</v>
      </c>
      <c r="S26" s="10" t="n">
        <v>10882213</v>
      </c>
      <c r="T26" s="10" t="n">
        <v>11154268</v>
      </c>
    </row>
    <row r="27" customFormat="false" ht="14.25" hidden="false" customHeight="true" outlineLevel="0" collapsed="false">
      <c r="A27" s="3" t="s">
        <v>67</v>
      </c>
      <c r="B27" s="4" t="s">
        <v>68</v>
      </c>
      <c r="C27" s="5" t="n">
        <f aca="false">IF(ISNUMBER(VLOOKUP("2.2.1",A3:T105,3,FALSE())),ROUND(VLOOKUP("2.2.1",A3:T105,3,FALSE()),4),0) + IF(ISNUMBER(VLOOKUP("2.2.x",A3:T105,3,FALSE())),ROUND(VLOOKUP("2.2.x",A3:T105,3,FALSE()),4),0)</f>
        <v>1356104.67</v>
      </c>
      <c r="D27" s="5" t="n">
        <f aca="false">IF(ISNUMBER(VLOOKUP("2.2.1",A3:T105,4,FALSE())),ROUND(VLOOKUP("2.2.1",A3:T105,4,FALSE()),4),0) + IF(ISNUMBER(VLOOKUP("2.2.x",A3:T105,4,FALSE())),ROUND(VLOOKUP("2.2.x",A3:T105,4,FALSE()),4),0)</f>
        <v>1800196.52</v>
      </c>
      <c r="E27" s="5" t="n">
        <f aca="false">IF(ISNUMBER(VLOOKUP("2.2.1",A3:T105,5,FALSE())),ROUND(VLOOKUP("2.2.1",A3:T105,5,FALSE()),4),0) + IF(ISNUMBER(VLOOKUP("2.2.x",A3:T105,5,FALSE())),ROUND(VLOOKUP("2.2.x",A3:T105,5,FALSE()),4),0)</f>
        <v>1670712.23</v>
      </c>
      <c r="F27" s="5" t="n">
        <f aca="false">IF(ISNUMBER(VLOOKUP("2.2.1",A3:T105,6,FALSE())),ROUND(VLOOKUP("2.2.1",A3:T105,6,FALSE()),4),0) + IF(ISNUMBER(VLOOKUP("2.2.x",A3:T105,6,FALSE())),ROUND(VLOOKUP("2.2.x",A3:T105,6,FALSE()),4),0)</f>
        <v>1889501.04</v>
      </c>
      <c r="G27" s="5" t="n">
        <f aca="false">IF(ISNUMBER(VLOOKUP("2.2.1",A3:T105,7,FALSE())),ROUND(VLOOKUP("2.2.1",A3:T105,7,FALSE()),4),0) + IF(ISNUMBER(VLOOKUP("2.2.x",A3:T105,7,FALSE())),ROUND(VLOOKUP("2.2.x",A3:T105,7,FALSE()),4),0)</f>
        <v>6900710.27</v>
      </c>
      <c r="H27" s="5" t="n">
        <f aca="false">IF(ISNUMBER(VLOOKUP("2.2.1",A3:T105,8,FALSE())),ROUND(VLOOKUP("2.2.1",A3:T105,8,FALSE()),4),0) + IF(ISNUMBER(VLOOKUP("2.2.x",A3:T105,8,FALSE())),ROUND(VLOOKUP("2.2.x",A3:T105,8,FALSE()),4),0)</f>
        <v>8758394.9</v>
      </c>
      <c r="I27" s="5" t="n">
        <f aca="false">IF(ISNUMBER(VLOOKUP("2.2.1",A3:T105,9,FALSE())),ROUND(VLOOKUP("2.2.1",A3:T105,9,FALSE()),4),0) + IF(ISNUMBER(VLOOKUP("2.2.x",A3:T105,9,FALSE())),ROUND(VLOOKUP("2.2.x",A3:T105,9,FALSE()),4),0)</f>
        <v>16851566.26</v>
      </c>
      <c r="J27" s="5" t="n">
        <f aca="false">IF(ISNUMBER(VLOOKUP("2.2.1",A3:T105,10,FALSE())),ROUND(VLOOKUP("2.2.1",A3:T105,10,FALSE()),4),0) + IF(ISNUMBER(VLOOKUP("2.2.x",A3:T105,10,FALSE())),ROUND(VLOOKUP("2.2.x",A3:T105,10,FALSE()),4),0)</f>
        <v>16209977.06</v>
      </c>
      <c r="K27" s="6" t="n">
        <f aca="false">IF(ISNUMBER(VLOOKUP("2.2.1",A3:T105,11,FALSE())),ROUND(VLOOKUP("2.2.1",A3:T105,11,FALSE()),4),0) + IF(ISNUMBER(VLOOKUP("2.2.x",A3:T105,11,FALSE())),ROUND(VLOOKUP("2.2.x",A3:T105,11,FALSE()),4),0)</f>
        <v>8380900</v>
      </c>
      <c r="L27" s="6" t="n">
        <f aca="false">IF(ISNUMBER(VLOOKUP("2.2.1",A3:T105,12,FALSE())),ROUND(VLOOKUP("2.2.1",A3:T105,12,FALSE()),4),0) + IF(ISNUMBER(VLOOKUP("2.2.x",A3:T105,12,FALSE())),ROUND(VLOOKUP("2.2.x",A3:T105,12,FALSE()),4),0)</f>
        <v>2467858</v>
      </c>
      <c r="M27" s="6" t="n">
        <f aca="false">IF(ISNUMBER(VLOOKUP("2.2.1",A3:T105,13,FALSE())),ROUND(VLOOKUP("2.2.1",A3:T105,13,FALSE()),4),0) + IF(ISNUMBER(VLOOKUP("2.2.x",A3:T105,13,FALSE())),ROUND(VLOOKUP("2.2.x",A3:T105,13,FALSE()),4),0)</f>
        <v>541360</v>
      </c>
      <c r="N27" s="6" t="n">
        <f aca="false">IF(ISNUMBER(VLOOKUP("2.2.1",A3:T105,14,FALSE())),ROUND(VLOOKUP("2.2.1",A3:T105,14,FALSE()),4),0) + IF(ISNUMBER(VLOOKUP("2.2.x",A3:T105,14,FALSE())),ROUND(VLOOKUP("2.2.x",A3:T105,14,FALSE()),4),0)</f>
        <v>509950</v>
      </c>
      <c r="O27" s="6" t="n">
        <f aca="false">IF(ISNUMBER(VLOOKUP("2.2.1",A3:T105,15,FALSE())),ROUND(VLOOKUP("2.2.1",A3:T105,15,FALSE()),4),0) + IF(ISNUMBER(VLOOKUP("2.2.x",A3:T105,15,FALSE())),ROUND(VLOOKUP("2.2.x",A3:T105,15,FALSE()),4),0)</f>
        <v>651366</v>
      </c>
      <c r="P27" s="6" t="n">
        <f aca="false">IF(ISNUMBER(VLOOKUP("2.2.1",A3:T105,16,FALSE())),ROUND(VLOOKUP("2.2.1",A3:T105,16,FALSE()),4),0) + IF(ISNUMBER(VLOOKUP("2.2.x",A3:T105,16,FALSE())),ROUND(VLOOKUP("2.2.x",A3:T105,16,FALSE()),4),0)</f>
        <v>658181</v>
      </c>
      <c r="Q27" s="6" t="n">
        <f aca="false">IF(ISNUMBER(VLOOKUP("2.2.1",A3:T105,17,FALSE())),ROUND(VLOOKUP("2.2.1",A3:T105,17,FALSE()),4),0) + IF(ISNUMBER(VLOOKUP("2.2.x",A3:T105,17,FALSE())),ROUND(VLOOKUP("2.2.x",A3:T105,17,FALSE()),4),0)</f>
        <v>474909</v>
      </c>
      <c r="R27" s="6" t="n">
        <f aca="false">IF(ISNUMBER(VLOOKUP("2.2.1",A3:T105,18,FALSE())),ROUND(VLOOKUP("2.2.1",A3:T105,18,FALSE()),4),0) + IF(ISNUMBER(VLOOKUP("2.2.x",A3:T105,18,FALSE())),ROUND(VLOOKUP("2.2.x",A3:T105,18,FALSE()),4),0)</f>
        <v>505922</v>
      </c>
      <c r="S27" s="6" t="n">
        <f aca="false">IF(ISNUMBER(VLOOKUP("2.2.1",A3:T105,19,FALSE())),ROUND(VLOOKUP("2.2.1",A3:T105,19,FALSE()),4),0) + IF(ISNUMBER(VLOOKUP("2.2.x",A3:T105,19,FALSE())),ROUND(VLOOKUP("2.2.x",A3:T105,19,FALSE()),4),0)</f>
        <v>541604</v>
      </c>
      <c r="T27" s="6" t="n">
        <f aca="false">IF(ISNUMBER(VLOOKUP("2.2.1",A3:T105,20,FALSE())),ROUND(VLOOKUP("2.2.1",A3:T105,20,FALSE()),4),0) + IF(ISNUMBER(VLOOKUP("2.2.x",A3:T105,20,FALSE())),ROUND(VLOOKUP("2.2.x",A3:T105,20,FALSE()),4),0)</f>
        <v>582313.01</v>
      </c>
    </row>
    <row r="28" customFormat="false" ht="27" hidden="false" customHeight="true" outlineLevel="0" collapsed="false">
      <c r="A28" s="7" t="s">
        <v>69</v>
      </c>
      <c r="B28" s="8" t="s">
        <v>70</v>
      </c>
      <c r="C28" s="9" t="n">
        <v>0</v>
      </c>
      <c r="D28" s="9" t="n">
        <v>0</v>
      </c>
      <c r="E28" s="9" t="n">
        <v>0</v>
      </c>
      <c r="F28" s="9" t="n">
        <v>0</v>
      </c>
      <c r="G28" s="9" t="n">
        <v>0</v>
      </c>
      <c r="H28" s="9" t="n">
        <v>8758394.9</v>
      </c>
      <c r="I28" s="9" t="n">
        <v>16851566.26</v>
      </c>
      <c r="J28" s="9" t="n">
        <v>16209977.06</v>
      </c>
      <c r="K28" s="10" t="n">
        <v>8380900</v>
      </c>
      <c r="L28" s="10" t="n">
        <v>2467858</v>
      </c>
      <c r="M28" s="10" t="n">
        <v>541360</v>
      </c>
      <c r="N28" s="10" t="n">
        <v>509950</v>
      </c>
      <c r="O28" s="10" t="n">
        <v>651366</v>
      </c>
      <c r="P28" s="10" t="n">
        <v>658181</v>
      </c>
      <c r="Q28" s="10" t="n">
        <v>474909</v>
      </c>
      <c r="R28" s="10" t="n">
        <v>505922</v>
      </c>
      <c r="S28" s="10" t="n">
        <v>541604</v>
      </c>
      <c r="T28" s="10" t="n">
        <v>582313.01</v>
      </c>
    </row>
    <row r="29" customFormat="false" ht="27" hidden="false" customHeight="true" outlineLevel="0" collapsed="false">
      <c r="A29" s="7" t="s">
        <v>71</v>
      </c>
      <c r="B29" s="8" t="s">
        <v>72</v>
      </c>
      <c r="C29" s="9" t="n">
        <v>0</v>
      </c>
      <c r="D29" s="9" t="n">
        <v>0</v>
      </c>
      <c r="E29" s="9" t="n">
        <v>0</v>
      </c>
      <c r="F29" s="9" t="n">
        <v>0</v>
      </c>
      <c r="G29" s="9" t="n">
        <v>0</v>
      </c>
      <c r="H29" s="9" t="n">
        <v>108441.96</v>
      </c>
      <c r="I29" s="9" t="n">
        <v>251000</v>
      </c>
      <c r="J29" s="9" t="n">
        <v>271856.39</v>
      </c>
      <c r="K29" s="10" t="n">
        <v>0</v>
      </c>
      <c r="L29" s="10" t="n">
        <v>0</v>
      </c>
      <c r="M29" s="10" t="n">
        <v>0</v>
      </c>
      <c r="N29" s="10" t="n">
        <v>0</v>
      </c>
      <c r="O29" s="10" t="n">
        <v>0</v>
      </c>
      <c r="P29" s="10" t="n">
        <v>0</v>
      </c>
      <c r="Q29" s="10" t="n">
        <v>0</v>
      </c>
      <c r="R29" s="10" t="n">
        <v>0</v>
      </c>
      <c r="S29" s="10" t="n">
        <v>0</v>
      </c>
      <c r="T29" s="10" t="n">
        <v>0</v>
      </c>
    </row>
    <row r="30" customFormat="false" ht="15" hidden="true" customHeight="false" outlineLevel="0" collapsed="false">
      <c r="A30" s="7" t="s">
        <v>73</v>
      </c>
      <c r="B30" s="8" t="s">
        <v>38</v>
      </c>
      <c r="C30" s="9" t="n">
        <v>1356104.67</v>
      </c>
      <c r="D30" s="9" t="n">
        <v>1800196.52</v>
      </c>
      <c r="E30" s="9" t="n">
        <v>1670712.23</v>
      </c>
      <c r="F30" s="9" t="n">
        <v>1889501.04</v>
      </c>
      <c r="G30" s="9" t="n">
        <v>6900710.27</v>
      </c>
      <c r="H30" s="9" t="n">
        <v>0</v>
      </c>
      <c r="I30" s="9" t="n">
        <v>0</v>
      </c>
      <c r="J30" s="9" t="n">
        <v>0</v>
      </c>
      <c r="K30" s="10" t="n">
        <v>0</v>
      </c>
      <c r="L30" s="10" t="n">
        <v>0</v>
      </c>
      <c r="M30" s="10" t="n">
        <v>0</v>
      </c>
      <c r="N30" s="10" t="n">
        <v>0</v>
      </c>
      <c r="O30" s="10" t="n">
        <v>0</v>
      </c>
      <c r="P30" s="10" t="n">
        <v>0</v>
      </c>
      <c r="Q30" s="10" t="n">
        <v>0</v>
      </c>
      <c r="R30" s="10" t="n">
        <v>0</v>
      </c>
      <c r="S30" s="10" t="n">
        <v>0</v>
      </c>
      <c r="T30" s="10" t="n">
        <v>0</v>
      </c>
    </row>
    <row r="31" customFormat="false" ht="14.25" hidden="false" customHeight="true" outlineLevel="0" collapsed="false">
      <c r="A31" s="3" t="s">
        <v>74</v>
      </c>
      <c r="B31" s="4" t="s">
        <v>75</v>
      </c>
      <c r="C31" s="5" t="n">
        <f aca="false">IF(ISNUMBER(VLOOKUP("1",A3:T105,3,FALSE())),ROUND(VLOOKUP("1",A3:T105,3,FALSE()),4),0) - IF(ISNUMBER(VLOOKUP("2",A3:T105,3,FALSE())),ROUND(VLOOKUP("2",A3:T105,3,FALSE()),4),0)</f>
        <v>3684319.6</v>
      </c>
      <c r="D31" s="5" t="n">
        <f aca="false">IF(ISNUMBER(VLOOKUP("1",A3:T105,4,FALSE())),ROUND(VLOOKUP("1",A3:T105,4,FALSE()),4),0) - IF(ISNUMBER(VLOOKUP("2",A3:T105,4,FALSE())),ROUND(VLOOKUP("2",A3:T105,4,FALSE()),4),0)</f>
        <v>748045.049999997</v>
      </c>
      <c r="E31" s="5" t="n">
        <f aca="false">IF(ISNUMBER(VLOOKUP("1",A3:T105,5,FALSE())),ROUND(VLOOKUP("1",A3:T105,5,FALSE()),4),0) - IF(ISNUMBER(VLOOKUP("2",A3:T105,5,FALSE())),ROUND(VLOOKUP("2",A3:T105,5,FALSE()),4),0)</f>
        <v>627947.120000001</v>
      </c>
      <c r="F31" s="5" t="n">
        <f aca="false">IF(ISNUMBER(VLOOKUP("1",A3:T105,6,FALSE())),ROUND(VLOOKUP("1",A3:T105,6,FALSE()),4),0) - IF(ISNUMBER(VLOOKUP("2",A3:T105,6,FALSE())),ROUND(VLOOKUP("2",A3:T105,6,FALSE()),4),0)</f>
        <v>2173126.54</v>
      </c>
      <c r="G31" s="5" t="n">
        <f aca="false">IF(ISNUMBER(VLOOKUP("1",A3:T105,7,FALSE())),ROUND(VLOOKUP("1",A3:T105,7,FALSE()),4),0) - IF(ISNUMBER(VLOOKUP("2",A3:T105,7,FALSE())),ROUND(VLOOKUP("2",A3:T105,7,FALSE()),4),0)</f>
        <v>-385679.73</v>
      </c>
      <c r="H31" s="5" t="n">
        <f aca="false">IF(ISNUMBER(VLOOKUP("1",A3:T105,8,FALSE())),ROUND(VLOOKUP("1",A3:T105,8,FALSE()),4),0) - IF(ISNUMBER(VLOOKUP("2",A3:T105,8,FALSE())),ROUND(VLOOKUP("2",A3:T105,8,FALSE()),4),0)</f>
        <v>-923920.309999999</v>
      </c>
      <c r="I31" s="5" t="n">
        <f aca="false">IF(ISNUMBER(VLOOKUP("1",A3:T105,9,FALSE())),ROUND(VLOOKUP("1",A3:T105,9,FALSE()),4),0) - IF(ISNUMBER(VLOOKUP("2",A3:T105,9,FALSE())),ROUND(VLOOKUP("2",A3:T105,9,FALSE()),4),0)</f>
        <v>-6753836.1</v>
      </c>
      <c r="J31" s="5" t="n">
        <f aca="false">IF(ISNUMBER(VLOOKUP("1",A3:T105,10,FALSE())),ROUND(VLOOKUP("1",A3:T105,10,FALSE()),4),0) - IF(ISNUMBER(VLOOKUP("2",A3:T105,10,FALSE())),ROUND(VLOOKUP("2",A3:T105,10,FALSE()),4),0)</f>
        <v>-5104433.85</v>
      </c>
      <c r="K31" s="6" t="n">
        <f aca="false">IF(ISNUMBER(VLOOKUP("1",A3:T105,11,FALSE())),ROUND(VLOOKUP("1",A3:T105,11,FALSE()),4),0) - IF(ISNUMBER(VLOOKUP("2",A3:T105,11,FALSE())),ROUND(VLOOKUP("2",A3:T105,11,FALSE()),4),0)</f>
        <v>-328704.530000001</v>
      </c>
      <c r="L31" s="6" t="n">
        <f aca="false">IF(ISNUMBER(VLOOKUP("1",A3:T105,12,FALSE())),ROUND(VLOOKUP("1",A3:T105,12,FALSE()),4),0) - IF(ISNUMBER(VLOOKUP("2",A3:T105,12,FALSE())),ROUND(VLOOKUP("2",A3:T105,12,FALSE()),4),0)</f>
        <v>600000</v>
      </c>
      <c r="M31" s="6" t="n">
        <f aca="false">IF(ISNUMBER(VLOOKUP("1",A3:T105,13,FALSE())),ROUND(VLOOKUP("1",A3:T105,13,FALSE()),4),0) - IF(ISNUMBER(VLOOKUP("2",A3:T105,13,FALSE())),ROUND(VLOOKUP("2",A3:T105,13,FALSE()),4),0)</f>
        <v>500000</v>
      </c>
      <c r="N31" s="6" t="n">
        <f aca="false">IF(ISNUMBER(VLOOKUP("1",A3:T105,14,FALSE())),ROUND(VLOOKUP("1",A3:T105,14,FALSE()),4),0) - IF(ISNUMBER(VLOOKUP("2",A3:T105,14,FALSE())),ROUND(VLOOKUP("2",A3:T105,14,FALSE()),4),0)</f>
        <v>500000</v>
      </c>
      <c r="O31" s="6" t="n">
        <f aca="false">IF(ISNUMBER(VLOOKUP("1",A3:T105,15,FALSE())),ROUND(VLOOKUP("1",A3:T105,15,FALSE()),4),0) - IF(ISNUMBER(VLOOKUP("2",A3:T105,15,FALSE())),ROUND(VLOOKUP("2",A3:T105,15,FALSE()),4),0)</f>
        <v>400000</v>
      </c>
      <c r="P31" s="6" t="n">
        <f aca="false">IF(ISNUMBER(VLOOKUP("1",A3:T105,16,FALSE())),ROUND(VLOOKUP("1",A3:T105,16,FALSE()),4),0) - IF(ISNUMBER(VLOOKUP("2",A3:T105,16,FALSE())),ROUND(VLOOKUP("2",A3:T105,16,FALSE()),4),0)</f>
        <v>400000</v>
      </c>
      <c r="Q31" s="6" t="n">
        <f aca="false">IF(ISNUMBER(VLOOKUP("1",A3:T105,17,FALSE())),ROUND(VLOOKUP("1",A3:T105,17,FALSE()),4),0) - IF(ISNUMBER(VLOOKUP("2",A3:T105,17,FALSE())),ROUND(VLOOKUP("2",A3:T105,17,FALSE()),4),0)</f>
        <v>400000</v>
      </c>
      <c r="R31" s="6" t="n">
        <f aca="false">IF(ISNUMBER(VLOOKUP("1",A3:T105,18,FALSE())),ROUND(VLOOKUP("1",A3:T105,18,FALSE()),4),0) - IF(ISNUMBER(VLOOKUP("2",A3:T105,18,FALSE())),ROUND(VLOOKUP("2",A3:T105,18,FALSE()),4),0)</f>
        <v>400000</v>
      </c>
      <c r="S31" s="6" t="n">
        <f aca="false">IF(ISNUMBER(VLOOKUP("1",A3:T105,19,FALSE())),ROUND(VLOOKUP("1",A3:T105,19,FALSE()),4),0) - IF(ISNUMBER(VLOOKUP("2",A3:T105,19,FALSE())),ROUND(VLOOKUP("2",A3:T105,19,FALSE()),4),0)</f>
        <v>400000</v>
      </c>
      <c r="T31" s="6" t="n">
        <f aca="false">IF(ISNUMBER(VLOOKUP("1",A3:T105,20,FALSE())),ROUND(VLOOKUP("1",A3:T105,20,FALSE()),4),0) - IF(ISNUMBER(VLOOKUP("2",A3:T105,20,FALSE())),ROUND(VLOOKUP("2",A3:T105,20,FALSE()),4),0)</f>
        <v>400000</v>
      </c>
    </row>
    <row r="32" customFormat="false" ht="27" hidden="false" customHeight="true" outlineLevel="0" collapsed="false">
      <c r="A32" s="7" t="s">
        <v>76</v>
      </c>
      <c r="B32" s="8" t="s">
        <v>77</v>
      </c>
      <c r="C32" s="11" t="n">
        <f aca="false">IF(IF(ISNUMBER(VLOOKUP("3",A3:T105,3,FALSE())),ROUND(VLOOKUP("3",A3:T105,3,FALSE()),4),0)&gt;0,IF(IF(ISNUMBER(VLOOKUP("3",A3:T105,3,FALSE())),ROUND(VLOOKUP("3",A3:T105,3,FALSE()),4),0)&gt;IF(ISNUMBER(VLOOKUP("5.1",A3:T105,3,FALSE())),ROUND(VLOOKUP("5.1",A3:T105,3,FALSE()),4),0),IF(ISNUMBER(VLOOKUP("5.1",A3:T105,3,FALSE())),ROUND(VLOOKUP("5.1",A3:T105,3,FALSE()),4),0),IF(ISNUMBER(VLOOKUP("3",A3:T105,3,FALSE())),ROUND(VLOOKUP("3",A3:T105,3,FALSE()),4),0)),0)</f>
        <v>406500</v>
      </c>
      <c r="D32" s="11" t="n">
        <f aca="false">IF(IF(ISNUMBER(VLOOKUP("3",A3:T105,4,FALSE())),ROUND(VLOOKUP("3",A3:T105,4,FALSE()),4),0)&gt;0,IF(IF(ISNUMBER(VLOOKUP("3",A3:T105,4,FALSE())),ROUND(VLOOKUP("3",A3:T105,4,FALSE()),4),0)&gt;IF(ISNUMBER(VLOOKUP("5.1",A3:T105,4,FALSE())),ROUND(VLOOKUP("5.1",A3:T105,4,FALSE()),4),0),IF(ISNUMBER(VLOOKUP("5.1",A3:T105,4,FALSE())),ROUND(VLOOKUP("5.1",A3:T105,4,FALSE()),4),0),IF(ISNUMBER(VLOOKUP("3",A3:T105,4,FALSE())),ROUND(VLOOKUP("3",A3:T105,4,FALSE()),4),0)),0)</f>
        <v>748045.05</v>
      </c>
      <c r="E32" s="11" t="n">
        <f aca="false">IF(IF(ISNUMBER(VLOOKUP("3",A3:T105,5,FALSE())),ROUND(VLOOKUP("3",A3:T105,5,FALSE()),4),0)&gt;0,IF(IF(ISNUMBER(VLOOKUP("3",A3:T105,5,FALSE())),ROUND(VLOOKUP("3",A3:T105,5,FALSE()),4),0)&gt;IF(ISNUMBER(VLOOKUP("5.1",A3:T105,5,FALSE())),ROUND(VLOOKUP("5.1",A3:T105,5,FALSE()),4),0),IF(ISNUMBER(VLOOKUP("5.1",A3:T105,5,FALSE())),ROUND(VLOOKUP("5.1",A3:T105,5,FALSE()),4),0),IF(ISNUMBER(VLOOKUP("3",A3:T105,5,FALSE())),ROUND(VLOOKUP("3",A3:T105,5,FALSE()),4),0)),0)</f>
        <v>580500</v>
      </c>
      <c r="F32" s="11" t="n">
        <f aca="false">IF(IF(ISNUMBER(VLOOKUP("3",A3:T105,6,FALSE())),ROUND(VLOOKUP("3",A3:T105,6,FALSE()),4),0)&gt;0,IF(IF(ISNUMBER(VLOOKUP("3",A3:T105,6,FALSE())),ROUND(VLOOKUP("3",A3:T105,6,FALSE()),4),0)&gt;IF(ISNUMBER(VLOOKUP("5.1",A3:T105,6,FALSE())),ROUND(VLOOKUP("5.1",A3:T105,6,FALSE()),4),0),IF(ISNUMBER(VLOOKUP("5.1",A3:T105,6,FALSE())),ROUND(VLOOKUP("5.1",A3:T105,6,FALSE()),4),0),IF(ISNUMBER(VLOOKUP("3",A3:T105,6,FALSE())),ROUND(VLOOKUP("3",A3:T105,6,FALSE()),4),0)),0)</f>
        <v>400000</v>
      </c>
      <c r="G32" s="11" t="n">
        <f aca="false">IF(IF(ISNUMBER(VLOOKUP("3",A3:T105,7,FALSE())),ROUND(VLOOKUP("3",A3:T105,7,FALSE()),4),0)&gt;0,IF(IF(ISNUMBER(VLOOKUP("3",A3:T105,7,FALSE())),ROUND(VLOOKUP("3",A3:T105,7,FALSE()),4),0)&gt;IF(ISNUMBER(VLOOKUP("5.1",A3:T105,7,FALSE())),ROUND(VLOOKUP("5.1",A3:T105,7,FALSE()),4),0),IF(ISNUMBER(VLOOKUP("5.1",A3:T105,7,FALSE())),ROUND(VLOOKUP("5.1",A3:T105,7,FALSE()),4),0),IF(ISNUMBER(VLOOKUP("3",A3:T105,7,FALSE())),ROUND(VLOOKUP("3",A3:T105,7,FALSE()),4),0)),0)</f>
        <v>0</v>
      </c>
      <c r="H32" s="11" t="n">
        <f aca="false">IF(IF(ISNUMBER(VLOOKUP("3",A3:T105,8,FALSE())),ROUND(VLOOKUP("3",A3:T105,8,FALSE()),4),0)&gt;0,IF(IF(ISNUMBER(VLOOKUP("3",A3:T105,8,FALSE())),ROUND(VLOOKUP("3",A3:T105,8,FALSE()),4),0)&gt;IF(ISNUMBER(VLOOKUP("5.1",A3:T105,8,FALSE())),ROUND(VLOOKUP("5.1",A3:T105,8,FALSE()),4),0),IF(ISNUMBER(VLOOKUP("5.1",A3:T105,8,FALSE())),ROUND(VLOOKUP("5.1",A3:T105,8,FALSE()),4),0),IF(ISNUMBER(VLOOKUP("3",A3:T105,8,FALSE())),ROUND(VLOOKUP("3",A3:T105,8,FALSE()),4),0)),0)</f>
        <v>0</v>
      </c>
      <c r="I32" s="11" t="n">
        <f aca="false">IF(IF(ISNUMBER(VLOOKUP("3",A3:T105,9,FALSE())),ROUND(VLOOKUP("3",A3:T105,9,FALSE()),4),0)&gt;0,IF(IF(ISNUMBER(VLOOKUP("3",A3:T105,9,FALSE())),ROUND(VLOOKUP("3",A3:T105,9,FALSE()),4),0)&gt;IF(ISNUMBER(VLOOKUP("5.1",A3:T105,9,FALSE())),ROUND(VLOOKUP("5.1",A3:T105,9,FALSE()),4),0),IF(ISNUMBER(VLOOKUP("5.1",A3:T105,9,FALSE())),ROUND(VLOOKUP("5.1",A3:T105,9,FALSE()),4),0),IF(ISNUMBER(VLOOKUP("3",A3:T105,9,FALSE())),ROUND(VLOOKUP("3",A3:T105,9,FALSE()),4),0)),0)</f>
        <v>0</v>
      </c>
      <c r="J32" s="11" t="n">
        <f aca="false">IF(IF(ISNUMBER(VLOOKUP("3",A3:T105,10,FALSE())),ROUND(VLOOKUP("3",A3:T105,10,FALSE()),4),0)&gt;0,IF(IF(ISNUMBER(VLOOKUP("3",A3:T105,10,FALSE())),ROUND(VLOOKUP("3",A3:T105,10,FALSE()),4),0)&gt;IF(ISNUMBER(VLOOKUP("5.1",A3:T105,10,FALSE())),ROUND(VLOOKUP("5.1",A3:T105,10,FALSE()),4),0),IF(ISNUMBER(VLOOKUP("5.1",A3:T105,10,FALSE())),ROUND(VLOOKUP("5.1",A3:T105,10,FALSE()),4),0),IF(ISNUMBER(VLOOKUP("3",A3:T105,10,FALSE())),ROUND(VLOOKUP("3",A3:T105,10,FALSE()),4),0)),0)</f>
        <v>0</v>
      </c>
      <c r="K32" s="12" t="n">
        <f aca="false">IF(IF(ISNUMBER(VLOOKUP("3",A3:T105,11,FALSE())),ROUND(VLOOKUP("3",A3:T105,11,FALSE()),4),0)&gt;0,IF(IF(ISNUMBER(VLOOKUP("3",A3:T105,11,FALSE())),ROUND(VLOOKUP("3",A3:T105,11,FALSE()),4),0)&gt;IF(ISNUMBER(VLOOKUP("5.1",A3:T105,11,FALSE())),ROUND(VLOOKUP("5.1",A3:T105,11,FALSE()),4),0),IF(ISNUMBER(VLOOKUP("5.1",A3:T105,11,FALSE())),ROUND(VLOOKUP("5.1",A3:T105,11,FALSE()),4),0),IF(ISNUMBER(VLOOKUP("3",A3:T105,11,FALSE())),ROUND(VLOOKUP("3",A3:T105,11,FALSE()),4),0)),0)</f>
        <v>0</v>
      </c>
      <c r="L32" s="12" t="n">
        <f aca="false">IF(IF(ISNUMBER(VLOOKUP("3",A3:T105,12,FALSE())),ROUND(VLOOKUP("3",A3:T105,12,FALSE()),4),0)&gt;0,IF(IF(ISNUMBER(VLOOKUP("3",A3:T105,12,FALSE())),ROUND(VLOOKUP("3",A3:T105,12,FALSE()),4),0)&gt;IF(ISNUMBER(VLOOKUP("5.1",A3:T105,12,FALSE())),ROUND(VLOOKUP("5.1",A3:T105,12,FALSE()),4),0),IF(ISNUMBER(VLOOKUP("5.1",A3:T105,12,FALSE())),ROUND(VLOOKUP("5.1",A3:T105,12,FALSE()),4),0),IF(ISNUMBER(VLOOKUP("3",A3:T105,12,FALSE())),ROUND(VLOOKUP("3",A3:T105,12,FALSE()),4),0)),0)</f>
        <v>600000</v>
      </c>
      <c r="M32" s="12" t="n">
        <f aca="false">IF(IF(ISNUMBER(VLOOKUP("3",A3:T105,13,FALSE())),ROUND(VLOOKUP("3",A3:T105,13,FALSE()),4),0)&gt;0,IF(IF(ISNUMBER(VLOOKUP("3",A3:T105,13,FALSE())),ROUND(VLOOKUP("3",A3:T105,13,FALSE()),4),0)&gt;IF(ISNUMBER(VLOOKUP("5.1",A3:T105,13,FALSE())),ROUND(VLOOKUP("5.1",A3:T105,13,FALSE()),4),0),IF(ISNUMBER(VLOOKUP("5.1",A3:T105,13,FALSE())),ROUND(VLOOKUP("5.1",A3:T105,13,FALSE()),4),0),IF(ISNUMBER(VLOOKUP("3",A3:T105,13,FALSE())),ROUND(VLOOKUP("3",A3:T105,13,FALSE()),4),0)),0)</f>
        <v>500000</v>
      </c>
      <c r="N32" s="12" t="n">
        <f aca="false">IF(IF(ISNUMBER(VLOOKUP("3",A3:T105,14,FALSE())),ROUND(VLOOKUP("3",A3:T105,14,FALSE()),4),0)&gt;0,IF(IF(ISNUMBER(VLOOKUP("3",A3:T105,14,FALSE())),ROUND(VLOOKUP("3",A3:T105,14,FALSE()),4),0)&gt;IF(ISNUMBER(VLOOKUP("5.1",A3:T105,14,FALSE())),ROUND(VLOOKUP("5.1",A3:T105,14,FALSE()),4),0),IF(ISNUMBER(VLOOKUP("5.1",A3:T105,14,FALSE())),ROUND(VLOOKUP("5.1",A3:T105,14,FALSE()),4),0),IF(ISNUMBER(VLOOKUP("3",A3:T105,14,FALSE())),ROUND(VLOOKUP("3",A3:T105,14,FALSE()),4),0)),0)</f>
        <v>500000</v>
      </c>
      <c r="O32" s="12" t="n">
        <f aca="false">IF(IF(ISNUMBER(VLOOKUP("3",A3:T105,15,FALSE())),ROUND(VLOOKUP("3",A3:T105,15,FALSE()),4),0)&gt;0,IF(IF(ISNUMBER(VLOOKUP("3",A3:T105,15,FALSE())),ROUND(VLOOKUP("3",A3:T105,15,FALSE()),4),0)&gt;IF(ISNUMBER(VLOOKUP("5.1",A3:T105,15,FALSE())),ROUND(VLOOKUP("5.1",A3:T105,15,FALSE()),4),0),IF(ISNUMBER(VLOOKUP("5.1",A3:T105,15,FALSE())),ROUND(VLOOKUP("5.1",A3:T105,15,FALSE()),4),0),IF(ISNUMBER(VLOOKUP("3",A3:T105,15,FALSE())),ROUND(VLOOKUP("3",A3:T105,15,FALSE()),4),0)),0)</f>
        <v>400000</v>
      </c>
      <c r="P32" s="12" t="n">
        <f aca="false">IF(IF(ISNUMBER(VLOOKUP("3",A3:T105,16,FALSE())),ROUND(VLOOKUP("3",A3:T105,16,FALSE()),4),0)&gt;0,IF(IF(ISNUMBER(VLOOKUP("3",A3:T105,16,FALSE())),ROUND(VLOOKUP("3",A3:T105,16,FALSE()),4),0)&gt;IF(ISNUMBER(VLOOKUP("5.1",A3:T105,16,FALSE())),ROUND(VLOOKUP("5.1",A3:T105,16,FALSE()),4),0),IF(ISNUMBER(VLOOKUP("5.1",A3:T105,16,FALSE())),ROUND(VLOOKUP("5.1",A3:T105,16,FALSE()),4),0),IF(ISNUMBER(VLOOKUP("3",A3:T105,16,FALSE())),ROUND(VLOOKUP("3",A3:T105,16,FALSE()),4),0)),0)</f>
        <v>400000</v>
      </c>
      <c r="Q32" s="12" t="n">
        <f aca="false">IF(IF(ISNUMBER(VLOOKUP("3",A3:T105,17,FALSE())),ROUND(VLOOKUP("3",A3:T105,17,FALSE()),4),0)&gt;0,IF(IF(ISNUMBER(VLOOKUP("3",A3:T105,17,FALSE())),ROUND(VLOOKUP("3",A3:T105,17,FALSE()),4),0)&gt;IF(ISNUMBER(VLOOKUP("5.1",A3:T105,17,FALSE())),ROUND(VLOOKUP("5.1",A3:T105,17,FALSE()),4),0),IF(ISNUMBER(VLOOKUP("5.1",A3:T105,17,FALSE())),ROUND(VLOOKUP("5.1",A3:T105,17,FALSE()),4),0),IF(ISNUMBER(VLOOKUP("3",A3:T105,17,FALSE())),ROUND(VLOOKUP("3",A3:T105,17,FALSE()),4),0)),0)</f>
        <v>400000</v>
      </c>
      <c r="R32" s="12" t="n">
        <f aca="false">IF(IF(ISNUMBER(VLOOKUP("3",A3:T105,18,FALSE())),ROUND(VLOOKUP("3",A3:T105,18,FALSE()),4),0)&gt;0,IF(IF(ISNUMBER(VLOOKUP("3",A3:T105,18,FALSE())),ROUND(VLOOKUP("3",A3:T105,18,FALSE()),4),0)&gt;IF(ISNUMBER(VLOOKUP("5.1",A3:T105,18,FALSE())),ROUND(VLOOKUP("5.1",A3:T105,18,FALSE()),4),0),IF(ISNUMBER(VLOOKUP("5.1",A3:T105,18,FALSE())),ROUND(VLOOKUP("5.1",A3:T105,18,FALSE()),4),0),IF(ISNUMBER(VLOOKUP("3",A3:T105,18,FALSE())),ROUND(VLOOKUP("3",A3:T105,18,FALSE()),4),0)),0)</f>
        <v>400000</v>
      </c>
      <c r="S32" s="12" t="n">
        <f aca="false">IF(IF(ISNUMBER(VLOOKUP("3",A3:T105,19,FALSE())),ROUND(VLOOKUP("3",A3:T105,19,FALSE()),4),0)&gt;0,IF(IF(ISNUMBER(VLOOKUP("3",A3:T105,19,FALSE())),ROUND(VLOOKUP("3",A3:T105,19,FALSE()),4),0)&gt;IF(ISNUMBER(VLOOKUP("5.1",A3:T105,19,FALSE())),ROUND(VLOOKUP("5.1",A3:T105,19,FALSE()),4),0),IF(ISNUMBER(VLOOKUP("5.1",A3:T105,19,FALSE())),ROUND(VLOOKUP("5.1",A3:T105,19,FALSE()),4),0),IF(ISNUMBER(VLOOKUP("3",A3:T105,19,FALSE())),ROUND(VLOOKUP("3",A3:T105,19,FALSE()),4),0)),0)</f>
        <v>400000</v>
      </c>
      <c r="T32" s="12" t="n">
        <f aca="false">IF(IF(ISNUMBER(VLOOKUP("3",A3:T105,20,FALSE())),ROUND(VLOOKUP("3",A3:T105,20,FALSE()),4),0)&gt;0,IF(IF(ISNUMBER(VLOOKUP("3",A3:T105,20,FALSE())),ROUND(VLOOKUP("3",A3:T105,20,FALSE()),4),0)&gt;IF(ISNUMBER(VLOOKUP("5.1",A3:T105,20,FALSE())),ROUND(VLOOKUP("5.1",A3:T105,20,FALSE()),4),0),IF(ISNUMBER(VLOOKUP("5.1",A3:T105,20,FALSE())),ROUND(VLOOKUP("5.1",A3:T105,20,FALSE()),4),0),IF(ISNUMBER(VLOOKUP("3",A3:T105,20,FALSE())),ROUND(VLOOKUP("3",A3:T105,20,FALSE()),4),0)),0)</f>
        <v>400000</v>
      </c>
    </row>
    <row r="33" customFormat="false" ht="14.25" hidden="false" customHeight="true" outlineLevel="0" collapsed="false">
      <c r="A33" s="3" t="s">
        <v>78</v>
      </c>
      <c r="B33" s="4" t="s">
        <v>79</v>
      </c>
      <c r="C33" s="5" t="n">
        <f aca="false">IF(ISNUMBER(VLOOKUP("4.1",A3:T105,3,FALSE())),ROUND(VLOOKUP("4.1",A3:T105,3,FALSE()),4),0) + IF(ISNUMBER(VLOOKUP("4.2",A3:T105,3,FALSE())),ROUND(VLOOKUP("4.2",A3:T105,3,FALSE()),4),0) + IF(ISNUMBER(VLOOKUP("4.3",A3:T105,3,FALSE())),ROUND(VLOOKUP("4.3",A3:T105,3,FALSE()),4),0) + IF(ISNUMBER(VLOOKUP("4.4",A3:T105,3,FALSE())),ROUND(VLOOKUP("4.4",A3:T105,3,FALSE()),4),0) + IF(ISNUMBER(VLOOKUP("4.5",A3:T105,3,FALSE())),ROUND(VLOOKUP("4.5",A3:T105,3,FALSE()),4),0)</f>
        <v>764173.9</v>
      </c>
      <c r="D33" s="5" t="n">
        <f aca="false">IF(ISNUMBER(VLOOKUP("4.1",A3:T105,4,FALSE())),ROUND(VLOOKUP("4.1",A3:T105,4,FALSE()),4),0) + IF(ISNUMBER(VLOOKUP("4.2",A3:T105,4,FALSE())),ROUND(VLOOKUP("4.2",A3:T105,4,FALSE()),4),0) + IF(ISNUMBER(VLOOKUP("4.3",A3:T105,4,FALSE())),ROUND(VLOOKUP("4.3",A3:T105,4,FALSE()),4),0) + IF(ISNUMBER(VLOOKUP("4.4",A3:T105,4,FALSE())),ROUND(VLOOKUP("4.4",A3:T105,4,FALSE()),4),0) + IF(ISNUMBER(VLOOKUP("4.5",A3:T105,4,FALSE())),ROUND(VLOOKUP("4.5",A3:T105,4,FALSE()),4),0)</f>
        <v>4041993.5</v>
      </c>
      <c r="E33" s="5" t="n">
        <f aca="false">IF(ISNUMBER(VLOOKUP("4.1",A3:T105,5,FALSE())),ROUND(VLOOKUP("4.1",A3:T105,5,FALSE()),4),0) + IF(ISNUMBER(VLOOKUP("4.2",A3:T105,5,FALSE())),ROUND(VLOOKUP("4.2",A3:T105,5,FALSE()),4),0) + IF(ISNUMBER(VLOOKUP("4.3",A3:T105,5,FALSE())),ROUND(VLOOKUP("4.3",A3:T105,5,FALSE()),4),0) + IF(ISNUMBER(VLOOKUP("4.4",A3:T105,5,FALSE())),ROUND(VLOOKUP("4.4",A3:T105,5,FALSE()),4),0) + IF(ISNUMBER(VLOOKUP("4.5",A3:T105,5,FALSE())),ROUND(VLOOKUP("4.5",A3:T105,5,FALSE()),4),0)</f>
        <v>4483538.55</v>
      </c>
      <c r="F33" s="5" t="n">
        <f aca="false">IF(ISNUMBER(VLOOKUP("4.1",A3:T105,6,FALSE())),ROUND(VLOOKUP("4.1",A3:T105,6,FALSE()),4),0) + IF(ISNUMBER(VLOOKUP("4.2",A3:T105,6,FALSE())),ROUND(VLOOKUP("4.2",A3:T105,6,FALSE()),4),0) + IF(ISNUMBER(VLOOKUP("4.3",A3:T105,6,FALSE())),ROUND(VLOOKUP("4.3",A3:T105,6,FALSE()),4),0) + IF(ISNUMBER(VLOOKUP("4.4",A3:T105,6,FALSE())),ROUND(VLOOKUP("4.4",A3:T105,6,FALSE()),4),0) + IF(ISNUMBER(VLOOKUP("4.5",A3:T105,6,FALSE())),ROUND(VLOOKUP("4.5",A3:T105,6,FALSE()),4),0)</f>
        <v>4530985.67</v>
      </c>
      <c r="G33" s="5" t="n">
        <f aca="false">IF(ISNUMBER(VLOOKUP("4.1",A3:T105,7,FALSE())),ROUND(VLOOKUP("4.1",A3:T105,7,FALSE()),4),0) + IF(ISNUMBER(VLOOKUP("4.2",A3:T105,7,FALSE())),ROUND(VLOOKUP("4.2",A3:T105,7,FALSE()),4),0) + IF(ISNUMBER(VLOOKUP("4.3",A3:T105,7,FALSE())),ROUND(VLOOKUP("4.3",A3:T105,7,FALSE()),4),0) + IF(ISNUMBER(VLOOKUP("4.4",A3:T105,7,FALSE())),ROUND(VLOOKUP("4.4",A3:T105,7,FALSE()),4),0) + IF(ISNUMBER(VLOOKUP("4.5",A3:T105,7,FALSE())),ROUND(VLOOKUP("4.5",A3:T105,7,FALSE()),4),0)</f>
        <v>6304112.21</v>
      </c>
      <c r="H33" s="5" t="n">
        <f aca="false">IF(ISNUMBER(VLOOKUP("4.1",A3:T105,8,FALSE())),ROUND(VLOOKUP("4.1",A3:T105,8,FALSE()),4),0) + IF(ISNUMBER(VLOOKUP("4.2",A3:T105,8,FALSE())),ROUND(VLOOKUP("4.2",A3:T105,8,FALSE()),4),0) + IF(ISNUMBER(VLOOKUP("4.3",A3:T105,8,FALSE())),ROUND(VLOOKUP("4.3",A3:T105,8,FALSE()),4),0) + IF(ISNUMBER(VLOOKUP("4.4",A3:T105,8,FALSE())),ROUND(VLOOKUP("4.4",A3:T105,8,FALSE()),4),0) + IF(ISNUMBER(VLOOKUP("4.5",A3:T105,8,FALSE())),ROUND(VLOOKUP("4.5",A3:T105,8,FALSE()),4),0)</f>
        <v>4118432.48</v>
      </c>
      <c r="I33" s="5" t="n">
        <f aca="false">IF(ISNUMBER(VLOOKUP("4.1",A3:T105,9,FALSE())),ROUND(VLOOKUP("4.1",A3:T105,9,FALSE()),4),0) + IF(ISNUMBER(VLOOKUP("4.2",A3:T105,9,FALSE())),ROUND(VLOOKUP("4.2",A3:T105,9,FALSE()),4),0) + IF(ISNUMBER(VLOOKUP("4.3",A3:T105,9,FALSE())),ROUND(VLOOKUP("4.3",A3:T105,9,FALSE()),4),0) + IF(ISNUMBER(VLOOKUP("4.4",A3:T105,9,FALSE())),ROUND(VLOOKUP("4.4",A3:T105,9,FALSE()),4),0) + IF(ISNUMBER(VLOOKUP("4.5",A3:T105,9,FALSE())),ROUND(VLOOKUP("4.5",A3:T105,9,FALSE()),4),0)</f>
        <v>6953836.1</v>
      </c>
      <c r="J33" s="5" t="n">
        <f aca="false">IF(ISNUMBER(VLOOKUP("4.1",A3:T105,10,FALSE())),ROUND(VLOOKUP("4.1",A3:T105,10,FALSE()),4),0) + IF(ISNUMBER(VLOOKUP("4.2",A3:T105,10,FALSE())),ROUND(VLOOKUP("4.2",A3:T105,10,FALSE()),4),0) + IF(ISNUMBER(VLOOKUP("4.3",A3:T105,10,FALSE())),ROUND(VLOOKUP("4.3",A3:T105,10,FALSE()),4),0) + IF(ISNUMBER(VLOOKUP("4.4",A3:T105,10,FALSE())),ROUND(VLOOKUP("4.4",A3:T105,10,FALSE()),4),0) + IF(ISNUMBER(VLOOKUP("4.5",A3:T105,10,FALSE())),ROUND(VLOOKUP("4.5",A3:T105,10,FALSE()),4),0)</f>
        <v>7014736.1</v>
      </c>
      <c r="K33" s="6" t="n">
        <f aca="false">IF(ISNUMBER(VLOOKUP("4.1",A3:T105,11,FALSE())),ROUND(VLOOKUP("4.1",A3:T105,11,FALSE()),4),0) + IF(ISNUMBER(VLOOKUP("4.2",A3:T105,11,FALSE())),ROUND(VLOOKUP("4.2",A3:T105,11,FALSE()),4),0) + IF(ISNUMBER(VLOOKUP("4.3",A3:T105,11,FALSE())),ROUND(VLOOKUP("4.3",A3:T105,11,FALSE()),4),0) + IF(ISNUMBER(VLOOKUP("4.4",A3:T105,11,FALSE())),ROUND(VLOOKUP("4.4",A3:T105,11,FALSE()),4),0) + IF(ISNUMBER(VLOOKUP("4.5",A3:T105,11,FALSE())),ROUND(VLOOKUP("4.5",A3:T105,11,FALSE()),4),0)</f>
        <v>928704.53</v>
      </c>
      <c r="L33" s="6" t="n">
        <f aca="false">IF(ISNUMBER(VLOOKUP("4.1",A3:T105,12,FALSE())),ROUND(VLOOKUP("4.1",A3:T105,12,FALSE()),4),0) + IF(ISNUMBER(VLOOKUP("4.2",A3:T105,12,FALSE())),ROUND(VLOOKUP("4.2",A3:T105,12,FALSE()),4),0) + IF(ISNUMBER(VLOOKUP("4.3",A3:T105,12,FALSE())),ROUND(VLOOKUP("4.3",A3:T105,12,FALSE()),4),0) + IF(ISNUMBER(VLOOKUP("4.4",A3:T105,12,FALSE())),ROUND(VLOOKUP("4.4",A3:T105,12,FALSE()),4),0) + IF(ISNUMBER(VLOOKUP("4.5",A3:T105,12,FALSE())),ROUND(VLOOKUP("4.5",A3:T105,12,FALSE()),4),0)</f>
        <v>0</v>
      </c>
      <c r="M33" s="6" t="n">
        <f aca="false">IF(ISNUMBER(VLOOKUP("4.1",A3:T105,13,FALSE())),ROUND(VLOOKUP("4.1",A3:T105,13,FALSE()),4),0) + IF(ISNUMBER(VLOOKUP("4.2",A3:T105,13,FALSE())),ROUND(VLOOKUP("4.2",A3:T105,13,FALSE()),4),0) + IF(ISNUMBER(VLOOKUP("4.3",A3:T105,13,FALSE())),ROUND(VLOOKUP("4.3",A3:T105,13,FALSE()),4),0) + IF(ISNUMBER(VLOOKUP("4.4",A3:T105,13,FALSE())),ROUND(VLOOKUP("4.4",A3:T105,13,FALSE()),4),0) + IF(ISNUMBER(VLOOKUP("4.5",A3:T105,13,FALSE())),ROUND(VLOOKUP("4.5",A3:T105,13,FALSE()),4),0)</f>
        <v>0</v>
      </c>
      <c r="N33" s="6" t="n">
        <f aca="false">IF(ISNUMBER(VLOOKUP("4.1",A3:T105,14,FALSE())),ROUND(VLOOKUP("4.1",A3:T105,14,FALSE()),4),0) + IF(ISNUMBER(VLOOKUP("4.2",A3:T105,14,FALSE())),ROUND(VLOOKUP("4.2",A3:T105,14,FALSE()),4),0) + IF(ISNUMBER(VLOOKUP("4.3",A3:T105,14,FALSE())),ROUND(VLOOKUP("4.3",A3:T105,14,FALSE()),4),0) + IF(ISNUMBER(VLOOKUP("4.4",A3:T105,14,FALSE())),ROUND(VLOOKUP("4.4",A3:T105,14,FALSE()),4),0) + IF(ISNUMBER(VLOOKUP("4.5",A3:T105,14,FALSE())),ROUND(VLOOKUP("4.5",A3:T105,14,FALSE()),4),0)</f>
        <v>0</v>
      </c>
      <c r="O33" s="6" t="n">
        <f aca="false">IF(ISNUMBER(VLOOKUP("4.1",A3:T105,15,FALSE())),ROUND(VLOOKUP("4.1",A3:T105,15,FALSE()),4),0) + IF(ISNUMBER(VLOOKUP("4.2",A3:T105,15,FALSE())),ROUND(VLOOKUP("4.2",A3:T105,15,FALSE()),4),0) + IF(ISNUMBER(VLOOKUP("4.3",A3:T105,15,FALSE())),ROUND(VLOOKUP("4.3",A3:T105,15,FALSE()),4),0) + IF(ISNUMBER(VLOOKUP("4.4",A3:T105,15,FALSE())),ROUND(VLOOKUP("4.4",A3:T105,15,FALSE()),4),0) + IF(ISNUMBER(VLOOKUP("4.5",A3:T105,15,FALSE())),ROUND(VLOOKUP("4.5",A3:T105,15,FALSE()),4),0)</f>
        <v>0</v>
      </c>
      <c r="P33" s="6" t="n">
        <f aca="false">IF(ISNUMBER(VLOOKUP("4.1",A3:T105,16,FALSE())),ROUND(VLOOKUP("4.1",A3:T105,16,FALSE()),4),0) + IF(ISNUMBER(VLOOKUP("4.2",A3:T105,16,FALSE())),ROUND(VLOOKUP("4.2",A3:T105,16,FALSE()),4),0) + IF(ISNUMBER(VLOOKUP("4.3",A3:T105,16,FALSE())),ROUND(VLOOKUP("4.3",A3:T105,16,FALSE()),4),0) + IF(ISNUMBER(VLOOKUP("4.4",A3:T105,16,FALSE())),ROUND(VLOOKUP("4.4",A3:T105,16,FALSE()),4),0) + IF(ISNUMBER(VLOOKUP("4.5",A3:T105,16,FALSE())),ROUND(VLOOKUP("4.5",A3:T105,16,FALSE()),4),0)</f>
        <v>0</v>
      </c>
      <c r="Q33" s="6" t="n">
        <f aca="false">IF(ISNUMBER(VLOOKUP("4.1",A3:T105,17,FALSE())),ROUND(VLOOKUP("4.1",A3:T105,17,FALSE()),4),0) + IF(ISNUMBER(VLOOKUP("4.2",A3:T105,17,FALSE())),ROUND(VLOOKUP("4.2",A3:T105,17,FALSE()),4),0) + IF(ISNUMBER(VLOOKUP("4.3",A3:T105,17,FALSE())),ROUND(VLOOKUP("4.3",A3:T105,17,FALSE()),4),0) + IF(ISNUMBER(VLOOKUP("4.4",A3:T105,17,FALSE())),ROUND(VLOOKUP("4.4",A3:T105,17,FALSE()),4),0) + IF(ISNUMBER(VLOOKUP("4.5",A3:T105,17,FALSE())),ROUND(VLOOKUP("4.5",A3:T105,17,FALSE()),4),0)</f>
        <v>0</v>
      </c>
      <c r="R33" s="6" t="n">
        <f aca="false">IF(ISNUMBER(VLOOKUP("4.1",A3:T105,18,FALSE())),ROUND(VLOOKUP("4.1",A3:T105,18,FALSE()),4),0) + IF(ISNUMBER(VLOOKUP("4.2",A3:T105,18,FALSE())),ROUND(VLOOKUP("4.2",A3:T105,18,FALSE()),4),0) + IF(ISNUMBER(VLOOKUP("4.3",A3:T105,18,FALSE())),ROUND(VLOOKUP("4.3",A3:T105,18,FALSE()),4),0) + IF(ISNUMBER(VLOOKUP("4.4",A3:T105,18,FALSE())),ROUND(VLOOKUP("4.4",A3:T105,18,FALSE()),4),0) + IF(ISNUMBER(VLOOKUP("4.5",A3:T105,18,FALSE())),ROUND(VLOOKUP("4.5",A3:T105,18,FALSE()),4),0)</f>
        <v>0</v>
      </c>
      <c r="S33" s="6" t="n">
        <f aca="false">IF(ISNUMBER(VLOOKUP("4.1",A3:T105,19,FALSE())),ROUND(VLOOKUP("4.1",A3:T105,19,FALSE()),4),0) + IF(ISNUMBER(VLOOKUP("4.2",A3:T105,19,FALSE())),ROUND(VLOOKUP("4.2",A3:T105,19,FALSE()),4),0) + IF(ISNUMBER(VLOOKUP("4.3",A3:T105,19,FALSE())),ROUND(VLOOKUP("4.3",A3:T105,19,FALSE()),4),0) + IF(ISNUMBER(VLOOKUP("4.4",A3:T105,19,FALSE())),ROUND(VLOOKUP("4.4",A3:T105,19,FALSE()),4),0) + IF(ISNUMBER(VLOOKUP("4.5",A3:T105,19,FALSE())),ROUND(VLOOKUP("4.5",A3:T105,19,FALSE()),4),0)</f>
        <v>0</v>
      </c>
      <c r="T33" s="6" t="n">
        <f aca="false">IF(ISNUMBER(VLOOKUP("4.1",A3:T105,20,FALSE())),ROUND(VLOOKUP("4.1",A3:T105,20,FALSE()),4),0) + IF(ISNUMBER(VLOOKUP("4.2",A3:T105,20,FALSE())),ROUND(VLOOKUP("4.2",A3:T105,20,FALSE()),4),0) + IF(ISNUMBER(VLOOKUP("4.3",A3:T105,20,FALSE())),ROUND(VLOOKUP("4.3",A3:T105,20,FALSE()),4),0) + IF(ISNUMBER(VLOOKUP("4.4",A3:T105,20,FALSE())),ROUND(VLOOKUP("4.4",A3:T105,20,FALSE()),4),0) + IF(ISNUMBER(VLOOKUP("4.5",A3:T105,20,FALSE())),ROUND(VLOOKUP("4.5",A3:T105,20,FALSE()),4),0)</f>
        <v>0</v>
      </c>
    </row>
    <row r="34" customFormat="false" ht="14.25" hidden="false" customHeight="true" outlineLevel="0" collapsed="false">
      <c r="A34" s="3" t="s">
        <v>80</v>
      </c>
      <c r="B34" s="4" t="s">
        <v>81</v>
      </c>
      <c r="C34" s="5" t="n">
        <v>0</v>
      </c>
      <c r="D34" s="5" t="n">
        <v>0</v>
      </c>
      <c r="E34" s="5" t="n">
        <v>0</v>
      </c>
      <c r="F34" s="5" t="n">
        <v>0</v>
      </c>
      <c r="G34" s="5" t="n">
        <v>0</v>
      </c>
      <c r="H34" s="5" t="n">
        <v>0</v>
      </c>
      <c r="I34" s="5" t="n">
        <v>4000000</v>
      </c>
      <c r="J34" s="5" t="n">
        <v>4000000</v>
      </c>
      <c r="K34" s="6" t="n">
        <v>0</v>
      </c>
      <c r="L34" s="6" t="n">
        <v>0</v>
      </c>
      <c r="M34" s="6" t="n">
        <v>0</v>
      </c>
      <c r="N34" s="6" t="n">
        <v>0</v>
      </c>
      <c r="O34" s="6" t="n">
        <v>0</v>
      </c>
      <c r="P34" s="6" t="n">
        <v>0</v>
      </c>
      <c r="Q34" s="6" t="n">
        <v>0</v>
      </c>
      <c r="R34" s="6" t="n">
        <v>0</v>
      </c>
      <c r="S34" s="6" t="n">
        <v>0</v>
      </c>
      <c r="T34" s="6" t="n">
        <v>0</v>
      </c>
    </row>
    <row r="35" customFormat="false" ht="14.25" hidden="false" customHeight="true" outlineLevel="0" collapsed="false">
      <c r="A35" s="7" t="s">
        <v>82</v>
      </c>
      <c r="B35" s="8" t="s">
        <v>83</v>
      </c>
      <c r="C35" s="11" t="n">
        <v>0</v>
      </c>
      <c r="D35" s="11" t="n">
        <v>0</v>
      </c>
      <c r="E35" s="11" t="n">
        <v>0</v>
      </c>
      <c r="F35" s="11" t="n">
        <v>0</v>
      </c>
      <c r="G35" s="11" t="n">
        <v>0</v>
      </c>
      <c r="H35" s="11" t="n">
        <v>0</v>
      </c>
      <c r="I35" s="11" t="n">
        <v>4000000</v>
      </c>
      <c r="J35" s="11" t="n">
        <v>4000000</v>
      </c>
      <c r="K35" s="12" t="n">
        <v>0</v>
      </c>
      <c r="L35" s="12" t="n">
        <v>0</v>
      </c>
      <c r="M35" s="12" t="n">
        <v>0</v>
      </c>
      <c r="N35" s="12" t="n">
        <v>0</v>
      </c>
      <c r="O35" s="12" t="n">
        <v>0</v>
      </c>
      <c r="P35" s="12" t="n">
        <v>0</v>
      </c>
      <c r="Q35" s="12" t="n">
        <v>0</v>
      </c>
      <c r="R35" s="12" t="n">
        <v>0</v>
      </c>
      <c r="S35" s="12" t="n">
        <v>0</v>
      </c>
      <c r="T35" s="12" t="n">
        <v>0</v>
      </c>
    </row>
    <row r="36" customFormat="false" ht="14.25" hidden="false" customHeight="true" outlineLevel="0" collapsed="false">
      <c r="A36" s="3" t="s">
        <v>84</v>
      </c>
      <c r="B36" s="4" t="s">
        <v>85</v>
      </c>
      <c r="C36" s="13" t="n">
        <v>0</v>
      </c>
      <c r="D36" s="13" t="n">
        <v>0</v>
      </c>
      <c r="E36" s="13" t="n">
        <v>500000</v>
      </c>
      <c r="F36" s="13" t="n">
        <v>112809.23</v>
      </c>
      <c r="G36" s="13" t="n">
        <v>0</v>
      </c>
      <c r="H36" s="13" t="n">
        <v>0</v>
      </c>
      <c r="I36" s="13" t="n">
        <v>53647.7</v>
      </c>
      <c r="J36" s="13" t="n">
        <v>53647.7</v>
      </c>
      <c r="K36" s="14" t="n">
        <v>73997.02</v>
      </c>
      <c r="L36" s="14" t="n">
        <v>0</v>
      </c>
      <c r="M36" s="14" t="n">
        <v>0</v>
      </c>
      <c r="N36" s="14" t="n">
        <v>0</v>
      </c>
      <c r="O36" s="14" t="n">
        <v>0</v>
      </c>
      <c r="P36" s="14" t="n">
        <v>0</v>
      </c>
      <c r="Q36" s="14" t="n">
        <v>0</v>
      </c>
      <c r="R36" s="14" t="n">
        <v>0</v>
      </c>
      <c r="S36" s="14" t="n">
        <v>0</v>
      </c>
      <c r="T36" s="14" t="n">
        <v>0</v>
      </c>
    </row>
    <row r="37" customFormat="false" ht="14.25" hidden="false" customHeight="true" outlineLevel="0" collapsed="false">
      <c r="A37" s="7" t="s">
        <v>86</v>
      </c>
      <c r="B37" s="8" t="s">
        <v>83</v>
      </c>
      <c r="C37" s="11" t="n">
        <v>0</v>
      </c>
      <c r="D37" s="11" t="n">
        <v>0</v>
      </c>
      <c r="E37" s="11" t="n">
        <v>500000</v>
      </c>
      <c r="F37" s="11" t="n">
        <v>0</v>
      </c>
      <c r="G37" s="11" t="n">
        <v>0</v>
      </c>
      <c r="H37" s="11" t="n">
        <v>0</v>
      </c>
      <c r="I37" s="11" t="n">
        <v>53647.7</v>
      </c>
      <c r="J37" s="11" t="n">
        <v>53647.7</v>
      </c>
      <c r="K37" s="12" t="n">
        <v>0</v>
      </c>
      <c r="L37" s="12" t="n">
        <v>0</v>
      </c>
      <c r="M37" s="12" t="n">
        <v>0</v>
      </c>
      <c r="N37" s="12" t="n">
        <v>0</v>
      </c>
      <c r="O37" s="12" t="n">
        <v>0</v>
      </c>
      <c r="P37" s="12" t="n">
        <v>0</v>
      </c>
      <c r="Q37" s="12" t="n">
        <v>0</v>
      </c>
      <c r="R37" s="12" t="n">
        <v>0</v>
      </c>
      <c r="S37" s="12" t="n">
        <v>0</v>
      </c>
      <c r="T37" s="12" t="n">
        <v>0</v>
      </c>
    </row>
    <row r="38" customFormat="false" ht="27" hidden="false" customHeight="true" outlineLevel="0" collapsed="false">
      <c r="A38" s="7" t="s">
        <v>87</v>
      </c>
      <c r="B38" s="8" t="s">
        <v>88</v>
      </c>
      <c r="C38" s="9" t="n">
        <v>764173.9</v>
      </c>
      <c r="D38" s="9" t="n">
        <v>4041993.5</v>
      </c>
      <c r="E38" s="9" t="n">
        <v>3983538.55</v>
      </c>
      <c r="F38" s="9" t="n">
        <v>4418176.44</v>
      </c>
      <c r="G38" s="9" t="n">
        <v>6304112.21</v>
      </c>
      <c r="H38" s="9" t="n">
        <v>4118432.48</v>
      </c>
      <c r="I38" s="9" t="n">
        <v>2900188.4</v>
      </c>
      <c r="J38" s="9" t="n">
        <v>2961088.4</v>
      </c>
      <c r="K38" s="10" t="n">
        <v>854707.51</v>
      </c>
      <c r="L38" s="10" t="n">
        <v>0</v>
      </c>
      <c r="M38" s="10" t="n">
        <v>0</v>
      </c>
      <c r="N38" s="10" t="n">
        <v>0</v>
      </c>
      <c r="O38" s="10" t="n">
        <v>0</v>
      </c>
      <c r="P38" s="10" t="n">
        <v>0</v>
      </c>
      <c r="Q38" s="10" t="n">
        <v>0</v>
      </c>
      <c r="R38" s="10" t="n">
        <v>0</v>
      </c>
      <c r="S38" s="10" t="n">
        <v>0</v>
      </c>
      <c r="T38" s="10" t="n">
        <v>0</v>
      </c>
    </row>
    <row r="39" customFormat="false" ht="14.25" hidden="false" customHeight="true" outlineLevel="0" collapsed="false">
      <c r="A39" s="7" t="s">
        <v>89</v>
      </c>
      <c r="B39" s="8" t="s">
        <v>83</v>
      </c>
      <c r="C39" s="11" t="n">
        <v>0</v>
      </c>
      <c r="D39" s="11" t="n">
        <v>0</v>
      </c>
      <c r="E39" s="11" t="n">
        <v>0</v>
      </c>
      <c r="F39" s="11" t="n">
        <v>0</v>
      </c>
      <c r="G39" s="11" t="n">
        <v>345317.67</v>
      </c>
      <c r="H39" s="11" t="n">
        <v>923920.31</v>
      </c>
      <c r="I39" s="11" t="n">
        <v>2700188.4</v>
      </c>
      <c r="J39" s="11" t="n">
        <v>1050786.15</v>
      </c>
      <c r="K39" s="12" t="n">
        <v>328704.53</v>
      </c>
      <c r="L39" s="12" t="n">
        <v>0</v>
      </c>
      <c r="M39" s="12" t="n">
        <v>0</v>
      </c>
      <c r="N39" s="12" t="n">
        <v>0</v>
      </c>
      <c r="O39" s="12" t="n">
        <v>0</v>
      </c>
      <c r="P39" s="12" t="n">
        <v>0</v>
      </c>
      <c r="Q39" s="12" t="n">
        <v>0</v>
      </c>
      <c r="R39" s="12" t="n">
        <v>0</v>
      </c>
      <c r="S39" s="12" t="n">
        <v>0</v>
      </c>
      <c r="T39" s="12" t="n">
        <v>0</v>
      </c>
    </row>
    <row r="40" customFormat="false" ht="14.25" hidden="false" customHeight="true" outlineLevel="0" collapsed="false">
      <c r="A40" s="7" t="s">
        <v>90</v>
      </c>
      <c r="B40" s="8" t="s">
        <v>91</v>
      </c>
      <c r="C40" s="9" t="n">
        <v>0</v>
      </c>
      <c r="D40" s="9" t="n">
        <v>0</v>
      </c>
      <c r="E40" s="9" t="n">
        <v>0</v>
      </c>
      <c r="F40" s="9" t="n">
        <v>0</v>
      </c>
      <c r="G40" s="9" t="n">
        <v>0</v>
      </c>
      <c r="H40" s="9" t="n">
        <v>0</v>
      </c>
      <c r="I40" s="9" t="n">
        <v>0</v>
      </c>
      <c r="J40" s="9" t="n">
        <v>0</v>
      </c>
      <c r="K40" s="10" t="n">
        <v>0</v>
      </c>
      <c r="L40" s="10" t="n">
        <v>0</v>
      </c>
      <c r="M40" s="10" t="n">
        <v>0</v>
      </c>
      <c r="N40" s="10" t="n">
        <v>0</v>
      </c>
      <c r="O40" s="10" t="n">
        <v>0</v>
      </c>
      <c r="P40" s="10" t="n">
        <v>0</v>
      </c>
      <c r="Q40" s="10" t="n">
        <v>0</v>
      </c>
      <c r="R40" s="10" t="n">
        <v>0</v>
      </c>
      <c r="S40" s="10" t="n">
        <v>0</v>
      </c>
      <c r="T40" s="10" t="n">
        <v>0</v>
      </c>
    </row>
    <row r="41" customFormat="false" ht="14.25" hidden="false" customHeight="true" outlineLevel="0" collapsed="false">
      <c r="A41" s="7" t="s">
        <v>92</v>
      </c>
      <c r="B41" s="8" t="s">
        <v>83</v>
      </c>
      <c r="C41" s="11" t="n">
        <v>0</v>
      </c>
      <c r="D41" s="11" t="n">
        <v>0</v>
      </c>
      <c r="E41" s="11" t="n">
        <v>0</v>
      </c>
      <c r="F41" s="11" t="n">
        <v>0</v>
      </c>
      <c r="G41" s="11" t="n">
        <v>0</v>
      </c>
      <c r="H41" s="11" t="n">
        <v>0</v>
      </c>
      <c r="I41" s="11" t="n">
        <v>0</v>
      </c>
      <c r="J41" s="11" t="n">
        <v>0</v>
      </c>
      <c r="K41" s="12" t="n">
        <v>0</v>
      </c>
      <c r="L41" s="12" t="n">
        <v>0</v>
      </c>
      <c r="M41" s="12" t="n">
        <v>0</v>
      </c>
      <c r="N41" s="12" t="n">
        <v>0</v>
      </c>
      <c r="O41" s="12" t="n">
        <v>0</v>
      </c>
      <c r="P41" s="12" t="n">
        <v>0</v>
      </c>
      <c r="Q41" s="12" t="n">
        <v>0</v>
      </c>
      <c r="R41" s="12" t="n">
        <v>0</v>
      </c>
      <c r="S41" s="12" t="n">
        <v>0</v>
      </c>
      <c r="T41" s="12" t="n">
        <v>0</v>
      </c>
    </row>
    <row r="42" customFormat="false" ht="14.25" hidden="false" customHeight="true" outlineLevel="0" collapsed="false">
      <c r="A42" s="3" t="s">
        <v>93</v>
      </c>
      <c r="B42" s="4" t="s">
        <v>94</v>
      </c>
      <c r="C42" s="13" t="n">
        <v>0</v>
      </c>
      <c r="D42" s="13" t="n">
        <v>0</v>
      </c>
      <c r="E42" s="13" t="n">
        <v>0</v>
      </c>
      <c r="F42" s="13" t="n">
        <v>0</v>
      </c>
      <c r="G42" s="13" t="n">
        <v>0</v>
      </c>
      <c r="H42" s="13" t="n">
        <v>0</v>
      </c>
      <c r="I42" s="13" t="n">
        <v>0</v>
      </c>
      <c r="J42" s="13" t="n">
        <v>0</v>
      </c>
      <c r="K42" s="14" t="n">
        <v>0</v>
      </c>
      <c r="L42" s="14" t="n">
        <v>0</v>
      </c>
      <c r="M42" s="14" t="n">
        <v>0</v>
      </c>
      <c r="N42" s="14" t="n">
        <v>0</v>
      </c>
      <c r="O42" s="14" t="n">
        <v>0</v>
      </c>
      <c r="P42" s="14" t="n">
        <v>0</v>
      </c>
      <c r="Q42" s="14" t="n">
        <v>0</v>
      </c>
      <c r="R42" s="14" t="n">
        <v>0</v>
      </c>
      <c r="S42" s="14" t="n">
        <v>0</v>
      </c>
      <c r="T42" s="14" t="n">
        <v>0</v>
      </c>
    </row>
    <row r="43" customFormat="false" ht="14.25" hidden="false" customHeight="true" outlineLevel="0" collapsed="false">
      <c r="A43" s="7" t="s">
        <v>95</v>
      </c>
      <c r="B43" s="8" t="s">
        <v>83</v>
      </c>
      <c r="C43" s="11" t="n">
        <v>0</v>
      </c>
      <c r="D43" s="11" t="n">
        <v>0</v>
      </c>
      <c r="E43" s="11" t="n">
        <v>0</v>
      </c>
      <c r="F43" s="11" t="n">
        <v>0</v>
      </c>
      <c r="G43" s="11" t="n">
        <v>0</v>
      </c>
      <c r="H43" s="11" t="n">
        <v>0</v>
      </c>
      <c r="I43" s="11" t="n">
        <v>0</v>
      </c>
      <c r="J43" s="11" t="n">
        <v>0</v>
      </c>
      <c r="K43" s="12" t="n">
        <v>0</v>
      </c>
      <c r="L43" s="12" t="n">
        <v>0</v>
      </c>
      <c r="M43" s="12" t="n">
        <v>0</v>
      </c>
      <c r="N43" s="12" t="n">
        <v>0</v>
      </c>
      <c r="O43" s="12" t="n">
        <v>0</v>
      </c>
      <c r="P43" s="12" t="n">
        <v>0</v>
      </c>
      <c r="Q43" s="12" t="n">
        <v>0</v>
      </c>
      <c r="R43" s="12" t="n">
        <v>0</v>
      </c>
      <c r="S43" s="12" t="n">
        <v>0</v>
      </c>
      <c r="T43" s="12" t="n">
        <v>0</v>
      </c>
    </row>
    <row r="44" customFormat="false" ht="14.25" hidden="false" customHeight="true" outlineLevel="0" collapsed="false">
      <c r="A44" s="3" t="s">
        <v>96</v>
      </c>
      <c r="B44" s="4" t="s">
        <v>97</v>
      </c>
      <c r="C44" s="5" t="n">
        <f aca="false">IF(ISNUMBER(VLOOKUP("5.1",A3:T105,3,FALSE())),ROUND(VLOOKUP("5.1",A3:T105,3,FALSE()),4),0) + IF(ISNUMBER(VLOOKUP("5.2",A3:T105,3,FALSE())),ROUND(VLOOKUP("5.2",A3:T105,3,FALSE()),4),0)</f>
        <v>406500</v>
      </c>
      <c r="D44" s="5" t="n">
        <f aca="false">IF(ISNUMBER(VLOOKUP("5.1",A3:T105,4,FALSE())),ROUND(VLOOKUP("5.1",A3:T105,4,FALSE()),4),0) + IF(ISNUMBER(VLOOKUP("5.2",A3:T105,4,FALSE())),ROUND(VLOOKUP("5.2",A3:T105,4,FALSE()),4),0)</f>
        <v>806500</v>
      </c>
      <c r="E44" s="5" t="n">
        <f aca="false">IF(ISNUMBER(VLOOKUP("5.1",A3:T105,5,FALSE())),ROUND(VLOOKUP("5.1",A3:T105,5,FALSE()),4),0) + IF(ISNUMBER(VLOOKUP("5.2",A3:T105,5,FALSE())),ROUND(VLOOKUP("5.2",A3:T105,5,FALSE()),4),0)</f>
        <v>580500</v>
      </c>
      <c r="F44" s="5" t="n">
        <f aca="false">IF(ISNUMBER(VLOOKUP("5.1",A3:T105,6,FALSE())),ROUND(VLOOKUP("5.1",A3:T105,6,FALSE()),4),0) + IF(ISNUMBER(VLOOKUP("5.2",A3:T105,6,FALSE())),ROUND(VLOOKUP("5.2",A3:T105,6,FALSE()),4),0)</f>
        <v>400000</v>
      </c>
      <c r="G44" s="5" t="n">
        <f aca="false">IF(ISNUMBER(VLOOKUP("5.1",A3:T105,7,FALSE())),ROUND(VLOOKUP("5.1",A3:T105,7,FALSE()),4),0) + IF(ISNUMBER(VLOOKUP("5.2",A3:T105,7,FALSE())),ROUND(VLOOKUP("5.2",A3:T105,7,FALSE()),4),0)</f>
        <v>1800000</v>
      </c>
      <c r="H44" s="5" t="n">
        <f aca="false">IF(ISNUMBER(VLOOKUP("5.1",A3:T105,8,FALSE())),ROUND(VLOOKUP("5.1",A3:T105,8,FALSE()),4),0) + IF(ISNUMBER(VLOOKUP("5.2",A3:T105,8,FALSE())),ROUND(VLOOKUP("5.2",A3:T105,8,FALSE()),4),0)</f>
        <v>200000</v>
      </c>
      <c r="I44" s="5" t="n">
        <f aca="false">IF(ISNUMBER(VLOOKUP("5.1",A3:T105,9,FALSE())),ROUND(VLOOKUP("5.1",A3:T105,9,FALSE()),4),0) + IF(ISNUMBER(VLOOKUP("5.2",A3:T105,9,FALSE())),ROUND(VLOOKUP("5.2",A3:T105,9,FALSE()),4),0)</f>
        <v>200000</v>
      </c>
      <c r="J44" s="5" t="n">
        <f aca="false">IF(ISNUMBER(VLOOKUP("5.1",A3:T105,10,FALSE())),ROUND(VLOOKUP("5.1",A3:T105,10,FALSE()),4),0) + IF(ISNUMBER(VLOOKUP("5.2",A3:T105,10,FALSE())),ROUND(VLOOKUP("5.2",A3:T105,10,FALSE()),4),0)</f>
        <v>200000</v>
      </c>
      <c r="K44" s="6" t="n">
        <f aca="false">IF(ISNUMBER(VLOOKUP("5.1",A3:T105,11,FALSE())),ROUND(VLOOKUP("5.1",A3:T105,11,FALSE()),4),0) + IF(ISNUMBER(VLOOKUP("5.2",A3:T105,11,FALSE())),ROUND(VLOOKUP("5.2",A3:T105,11,FALSE()),4),0)</f>
        <v>600000</v>
      </c>
      <c r="L44" s="6" t="n">
        <f aca="false">IF(ISNUMBER(VLOOKUP("5.1",A3:T105,12,FALSE())),ROUND(VLOOKUP("5.1",A3:T105,12,FALSE()),4),0) + IF(ISNUMBER(VLOOKUP("5.2",A3:T105,12,FALSE())),ROUND(VLOOKUP("5.2",A3:T105,12,FALSE()),4),0)</f>
        <v>600000</v>
      </c>
      <c r="M44" s="6" t="n">
        <f aca="false">IF(ISNUMBER(VLOOKUP("5.1",A3:T105,13,FALSE())),ROUND(VLOOKUP("5.1",A3:T105,13,FALSE()),4),0) + IF(ISNUMBER(VLOOKUP("5.2",A3:T105,13,FALSE())),ROUND(VLOOKUP("5.2",A3:T105,13,FALSE()),4),0)</f>
        <v>500000</v>
      </c>
      <c r="N44" s="6" t="n">
        <f aca="false">IF(ISNUMBER(VLOOKUP("5.1",A3:T105,14,FALSE())),ROUND(VLOOKUP("5.1",A3:T105,14,FALSE()),4),0) + IF(ISNUMBER(VLOOKUP("5.2",A3:T105,14,FALSE())),ROUND(VLOOKUP("5.2",A3:T105,14,FALSE()),4),0)</f>
        <v>500000</v>
      </c>
      <c r="O44" s="6" t="n">
        <f aca="false">IF(ISNUMBER(VLOOKUP("5.1",A3:T105,15,FALSE())),ROUND(VLOOKUP("5.1",A3:T105,15,FALSE()),4),0) + IF(ISNUMBER(VLOOKUP("5.2",A3:T105,15,FALSE())),ROUND(VLOOKUP("5.2",A3:T105,15,FALSE()),4),0)</f>
        <v>400000</v>
      </c>
      <c r="P44" s="6" t="n">
        <f aca="false">IF(ISNUMBER(VLOOKUP("5.1",A3:T105,16,FALSE())),ROUND(VLOOKUP("5.1",A3:T105,16,FALSE()),4),0) + IF(ISNUMBER(VLOOKUP("5.2",A3:T105,16,FALSE())),ROUND(VLOOKUP("5.2",A3:T105,16,FALSE()),4),0)</f>
        <v>400000</v>
      </c>
      <c r="Q44" s="6" t="n">
        <f aca="false">IF(ISNUMBER(VLOOKUP("5.1",A3:T105,17,FALSE())),ROUND(VLOOKUP("5.1",A3:T105,17,FALSE()),4),0) + IF(ISNUMBER(VLOOKUP("5.2",A3:T105,17,FALSE())),ROUND(VLOOKUP("5.2",A3:T105,17,FALSE()),4),0)</f>
        <v>400000</v>
      </c>
      <c r="R44" s="6" t="n">
        <f aca="false">IF(ISNUMBER(VLOOKUP("5.1",A3:T105,18,FALSE())),ROUND(VLOOKUP("5.1",A3:T105,18,FALSE()),4),0) + IF(ISNUMBER(VLOOKUP("5.2",A3:T105,18,FALSE())),ROUND(VLOOKUP("5.2",A3:T105,18,FALSE()),4),0)</f>
        <v>400000</v>
      </c>
      <c r="S44" s="6" t="n">
        <f aca="false">IF(ISNUMBER(VLOOKUP("5.1",A3:T105,19,FALSE())),ROUND(VLOOKUP("5.1",A3:T105,19,FALSE()),4),0) + IF(ISNUMBER(VLOOKUP("5.2",A3:T105,19,FALSE())),ROUND(VLOOKUP("5.2",A3:T105,19,FALSE()),4),0)</f>
        <v>400000</v>
      </c>
      <c r="T44" s="6" t="n">
        <f aca="false">IF(ISNUMBER(VLOOKUP("5.1",A3:T105,20,FALSE())),ROUND(VLOOKUP("5.1",A3:T105,20,FALSE()),4),0) + IF(ISNUMBER(VLOOKUP("5.2",A3:T105,20,FALSE())),ROUND(VLOOKUP("5.2",A3:T105,20,FALSE()),4),0)</f>
        <v>400000</v>
      </c>
    </row>
    <row r="45" customFormat="false" ht="27" hidden="false" customHeight="true" outlineLevel="0" collapsed="false">
      <c r="A45" s="3" t="s">
        <v>98</v>
      </c>
      <c r="B45" s="4" t="s">
        <v>99</v>
      </c>
      <c r="C45" s="5" t="n">
        <v>406500</v>
      </c>
      <c r="D45" s="5" t="n">
        <v>806500</v>
      </c>
      <c r="E45" s="5" t="n">
        <v>580500</v>
      </c>
      <c r="F45" s="5" t="n">
        <v>400000</v>
      </c>
      <c r="G45" s="5" t="n">
        <v>1800000</v>
      </c>
      <c r="H45" s="5" t="n">
        <v>200000</v>
      </c>
      <c r="I45" s="5" t="n">
        <v>200000</v>
      </c>
      <c r="J45" s="5" t="n">
        <v>200000</v>
      </c>
      <c r="K45" s="6" t="n">
        <v>600000</v>
      </c>
      <c r="L45" s="6" t="n">
        <v>600000</v>
      </c>
      <c r="M45" s="6" t="n">
        <v>500000</v>
      </c>
      <c r="N45" s="6" t="n">
        <v>500000</v>
      </c>
      <c r="O45" s="6" t="n">
        <v>400000</v>
      </c>
      <c r="P45" s="6" t="n">
        <v>400000</v>
      </c>
      <c r="Q45" s="6" t="n">
        <v>400000</v>
      </c>
      <c r="R45" s="6" t="n">
        <v>400000</v>
      </c>
      <c r="S45" s="6" t="n">
        <v>400000</v>
      </c>
      <c r="T45" s="6" t="n">
        <v>400000</v>
      </c>
    </row>
    <row r="46" customFormat="false" ht="27" hidden="false" customHeight="true" outlineLevel="0" collapsed="false">
      <c r="A46" s="7" t="s">
        <v>100</v>
      </c>
      <c r="B46" s="8" t="s">
        <v>101</v>
      </c>
      <c r="C46" s="11" t="n">
        <f aca="false">IF(ISNUMBER(VLOOKUP("5.1.1.1",A3:T105,3,FALSE())),ROUND(VLOOKUP("5.1.1.1",A3:T105,3,FALSE()),4),0) + IF(ISNUMBER(VLOOKUP("5.1.1.2",A3:T105,3,FALSE())),ROUND(VLOOKUP("5.1.1.2",A3:T105,3,FALSE()),4),0) + IF(ISNUMBER(VLOOKUP("5.1.1.3",A3:T105,3,FALSE())),ROUND(VLOOKUP("5.1.1.3",A3:T105,3,FALSE()),4),0) + IF(ISNA(VLOOKUP("5.1.1.4",A3:T105,3,FALSE())),0,ROUND(VLOOKUP("5.1.1.4",A3:T105,3,FALSE()),4))</f>
        <v>0</v>
      </c>
      <c r="D46" s="11" t="n">
        <f aca="false">IF(ISNUMBER(VLOOKUP("5.1.1.1",A3:T105,4,FALSE())),ROUND(VLOOKUP("5.1.1.1",A3:T105,4,FALSE()),4),0) + IF(ISNUMBER(VLOOKUP("5.1.1.2",A3:T105,4,FALSE())),ROUND(VLOOKUP("5.1.1.2",A3:T105,4,FALSE()),4),0) + IF(ISNUMBER(VLOOKUP("5.1.1.3",A3:T105,4,FALSE())),ROUND(VLOOKUP("5.1.1.3",A3:T105,4,FALSE()),4),0) + IF(ISNA(VLOOKUP("5.1.1.4",A3:T105,4,FALSE())),0,ROUND(VLOOKUP("5.1.1.4",A3:T105,4,FALSE()),4))</f>
        <v>0</v>
      </c>
      <c r="E46" s="11" t="n">
        <f aca="false">IF(ISNUMBER(VLOOKUP("5.1.1.1",A3:T105,5,FALSE())),ROUND(VLOOKUP("5.1.1.1",A3:T105,5,FALSE()),4),0) + IF(ISNUMBER(VLOOKUP("5.1.1.2",A3:T105,5,FALSE())),ROUND(VLOOKUP("5.1.1.2",A3:T105,5,FALSE()),4),0) + IF(ISNUMBER(VLOOKUP("5.1.1.3",A3:T105,5,FALSE())),ROUND(VLOOKUP("5.1.1.3",A3:T105,5,FALSE()),4),0) + IF(ISNA(VLOOKUP("5.1.1.4",A3:T105,5,FALSE())),0,ROUND(VLOOKUP("5.1.1.4",A3:T105,5,FALSE()),4))</f>
        <v>0</v>
      </c>
      <c r="F46" s="11" t="n">
        <f aca="false">IF(ISNUMBER(VLOOKUP("5.1.1.1",A3:T105,6,FALSE())),ROUND(VLOOKUP("5.1.1.1",A3:T105,6,FALSE()),4),0) + IF(ISNUMBER(VLOOKUP("5.1.1.2",A3:T105,6,FALSE())),ROUND(VLOOKUP("5.1.1.2",A3:T105,6,FALSE()),4),0) + IF(ISNUMBER(VLOOKUP("5.1.1.3",A3:T105,6,FALSE())),ROUND(VLOOKUP("5.1.1.3",A3:T105,6,FALSE()),4),0) + IF(ISNA(VLOOKUP("5.1.1.4",A3:T105,6,FALSE())),0,ROUND(VLOOKUP("5.1.1.4",A3:T105,6,FALSE()),4))</f>
        <v>0</v>
      </c>
      <c r="G46" s="11" t="n">
        <f aca="false">IF(ISNUMBER(VLOOKUP("5.1.1.1",A3:T105,7,FALSE())),ROUND(VLOOKUP("5.1.1.1",A3:T105,7,FALSE()),4),0) + IF(ISNUMBER(VLOOKUP("5.1.1.2",A3:T105,7,FALSE())),ROUND(VLOOKUP("5.1.1.2",A3:T105,7,FALSE()),4),0) + IF(ISNUMBER(VLOOKUP("5.1.1.3",A3:T105,7,FALSE())),ROUND(VLOOKUP("5.1.1.3",A3:T105,7,FALSE()),4),0) + IF(ISNA(VLOOKUP("5.1.1.4",A3:T105,7,FALSE())),0,ROUND(VLOOKUP("5.1.1.4",A3:T105,7,FALSE()),4))</f>
        <v>0</v>
      </c>
      <c r="H46" s="11" t="n">
        <f aca="false">IF(ISNUMBER(VLOOKUP("5.1.1.1",A3:T105,8,FALSE())),ROUND(VLOOKUP("5.1.1.1",A3:T105,8,FALSE()),4),0) + IF(ISNUMBER(VLOOKUP("5.1.1.2",A3:T105,8,FALSE())),ROUND(VLOOKUP("5.1.1.2",A3:T105,8,FALSE()),4),0) + IF(ISNUMBER(VLOOKUP("5.1.1.3",A3:T105,8,FALSE())),ROUND(VLOOKUP("5.1.1.3",A3:T105,8,FALSE()),4),0) + IF(ISNA(VLOOKUP("5.1.1.4",A3:T105,8,FALSE())),0,ROUND(VLOOKUP("5.1.1.4",A3:T105,8,FALSE()),4))</f>
        <v>0</v>
      </c>
      <c r="I46" s="11" t="n">
        <f aca="false">IF(ISNUMBER(VLOOKUP("5.1.1.1",A3:T105,9,FALSE())),ROUND(VLOOKUP("5.1.1.1",A3:T105,9,FALSE()),4),0) + IF(ISNUMBER(VLOOKUP("5.1.1.2",A3:T105,9,FALSE())),ROUND(VLOOKUP("5.1.1.2",A3:T105,9,FALSE()),4),0) + IF(ISNUMBER(VLOOKUP("5.1.1.3",A3:T105,9,FALSE())),ROUND(VLOOKUP("5.1.1.3",A3:T105,9,FALSE()),4),0) + IF(ISNA(VLOOKUP("5.1.1.4",A3:T105,9,FALSE())),0,ROUND(VLOOKUP("5.1.1.4",A3:T105,9,FALSE()),4))</f>
        <v>0</v>
      </c>
      <c r="J46" s="11" t="n">
        <f aca="false">IF(ISNUMBER(VLOOKUP("5.1.1.1",A3:T105,10,FALSE())),ROUND(VLOOKUP("5.1.1.1",A3:T105,10,FALSE()),4),0) + IF(ISNUMBER(VLOOKUP("5.1.1.2",A3:T105,10,FALSE())),ROUND(VLOOKUP("5.1.1.2",A3:T105,10,FALSE()),4),0) + IF(ISNUMBER(VLOOKUP("5.1.1.3",A3:T105,10,FALSE())),ROUND(VLOOKUP("5.1.1.3",A3:T105,10,FALSE()),4),0) + IF(ISNA(VLOOKUP("5.1.1.4",A3:T105,10,FALSE())),0,ROUND(VLOOKUP("5.1.1.4",A3:T105,10,FALSE()),4))</f>
        <v>0</v>
      </c>
      <c r="K46" s="12" t="n">
        <f aca="false">IF(ISNUMBER(VLOOKUP("5.1.1.1",A3:T105,11,FALSE())),ROUND(VLOOKUP("5.1.1.1",A3:T105,11,FALSE()),4),0) + IF(ISNUMBER(VLOOKUP("5.1.1.2",A3:T105,11,FALSE())),ROUND(VLOOKUP("5.1.1.2",A3:T105,11,FALSE()),4),0) + IF(ISNUMBER(VLOOKUP("5.1.1.3",A3:T105,11,FALSE())),ROUND(VLOOKUP("5.1.1.3",A3:T105,11,FALSE()),4),0) + IF(ISNA(VLOOKUP("5.1.1.4",A3:T105,11,FALSE())),0,ROUND(VLOOKUP("5.1.1.4",A3:T105,11,FALSE()),4))</f>
        <v>0</v>
      </c>
      <c r="L46" s="12" t="n">
        <f aca="false">IF(ISNUMBER(VLOOKUP("5.1.1.1",A3:T105,12,FALSE())),ROUND(VLOOKUP("5.1.1.1",A3:T105,12,FALSE()),4),0) + IF(ISNUMBER(VLOOKUP("5.1.1.2",A3:T105,12,FALSE())),ROUND(VLOOKUP("5.1.1.2",A3:T105,12,FALSE()),4),0) + IF(ISNUMBER(VLOOKUP("5.1.1.3",A3:T105,12,FALSE())),ROUND(VLOOKUP("5.1.1.3",A3:T105,12,FALSE()),4),0) + IF(ISNA(VLOOKUP("5.1.1.4",A3:T105,12,FALSE())),0,ROUND(VLOOKUP("5.1.1.4",A3:T105,12,FALSE()),4))</f>
        <v>0</v>
      </c>
      <c r="M46" s="12" t="n">
        <f aca="false">IF(ISNUMBER(VLOOKUP("5.1.1.1",A3:T105,13,FALSE())),ROUND(VLOOKUP("5.1.1.1",A3:T105,13,FALSE()),4),0) + IF(ISNUMBER(VLOOKUP("5.1.1.2",A3:T105,13,FALSE())),ROUND(VLOOKUP("5.1.1.2",A3:T105,13,FALSE()),4),0) + IF(ISNUMBER(VLOOKUP("5.1.1.3",A3:T105,13,FALSE())),ROUND(VLOOKUP("5.1.1.3",A3:T105,13,FALSE()),4),0) + IF(ISNA(VLOOKUP("5.1.1.4",A3:T105,13,FALSE())),0,ROUND(VLOOKUP("5.1.1.4",A3:T105,13,FALSE()),4))</f>
        <v>0</v>
      </c>
      <c r="N46" s="12" t="n">
        <f aca="false">IF(ISNUMBER(VLOOKUP("5.1.1.1",A3:T105,14,FALSE())),ROUND(VLOOKUP("5.1.1.1",A3:T105,14,FALSE()),4),0) + IF(ISNUMBER(VLOOKUP("5.1.1.2",A3:T105,14,FALSE())),ROUND(VLOOKUP("5.1.1.2",A3:T105,14,FALSE()),4),0) + IF(ISNUMBER(VLOOKUP("5.1.1.3",A3:T105,14,FALSE())),ROUND(VLOOKUP("5.1.1.3",A3:T105,14,FALSE()),4),0) + IF(ISNA(VLOOKUP("5.1.1.4",A3:T105,14,FALSE())),0,ROUND(VLOOKUP("5.1.1.4",A3:T105,14,FALSE()),4))</f>
        <v>0</v>
      </c>
      <c r="O46" s="12" t="n">
        <f aca="false">IF(ISNUMBER(VLOOKUP("5.1.1.1",A3:T105,15,FALSE())),ROUND(VLOOKUP("5.1.1.1",A3:T105,15,FALSE()),4),0) + IF(ISNUMBER(VLOOKUP("5.1.1.2",A3:T105,15,FALSE())),ROUND(VLOOKUP("5.1.1.2",A3:T105,15,FALSE()),4),0) + IF(ISNUMBER(VLOOKUP("5.1.1.3",A3:T105,15,FALSE())),ROUND(VLOOKUP("5.1.1.3",A3:T105,15,FALSE()),4),0) + IF(ISNA(VLOOKUP("5.1.1.4",A3:T105,15,FALSE())),0,ROUND(VLOOKUP("5.1.1.4",A3:T105,15,FALSE()),4))</f>
        <v>0</v>
      </c>
      <c r="P46" s="12" t="n">
        <f aca="false">IF(ISNUMBER(VLOOKUP("5.1.1.1",A3:T105,16,FALSE())),ROUND(VLOOKUP("5.1.1.1",A3:T105,16,FALSE()),4),0) + IF(ISNUMBER(VLOOKUP("5.1.1.2",A3:T105,16,FALSE())),ROUND(VLOOKUP("5.1.1.2",A3:T105,16,FALSE()),4),0) + IF(ISNUMBER(VLOOKUP("5.1.1.3",A3:T105,16,FALSE())),ROUND(VLOOKUP("5.1.1.3",A3:T105,16,FALSE()),4),0) + IF(ISNA(VLOOKUP("5.1.1.4",A3:T105,16,FALSE())),0,ROUND(VLOOKUP("5.1.1.4",A3:T105,16,FALSE()),4))</f>
        <v>0</v>
      </c>
      <c r="Q46" s="12" t="n">
        <f aca="false">IF(ISNUMBER(VLOOKUP("5.1.1.1",A3:T105,17,FALSE())),ROUND(VLOOKUP("5.1.1.1",A3:T105,17,FALSE()),4),0) + IF(ISNUMBER(VLOOKUP("5.1.1.2",A3:T105,17,FALSE())),ROUND(VLOOKUP("5.1.1.2",A3:T105,17,FALSE()),4),0) + IF(ISNUMBER(VLOOKUP("5.1.1.3",A3:T105,17,FALSE())),ROUND(VLOOKUP("5.1.1.3",A3:T105,17,FALSE()),4),0) + IF(ISNA(VLOOKUP("5.1.1.4",A3:T105,17,FALSE())),0,ROUND(VLOOKUP("5.1.1.4",A3:T105,17,FALSE()),4))</f>
        <v>0</v>
      </c>
      <c r="R46" s="12" t="n">
        <f aca="false">IF(ISNUMBER(VLOOKUP("5.1.1.1",A3:T105,18,FALSE())),ROUND(VLOOKUP("5.1.1.1",A3:T105,18,FALSE()),4),0) + IF(ISNUMBER(VLOOKUP("5.1.1.2",A3:T105,18,FALSE())),ROUND(VLOOKUP("5.1.1.2",A3:T105,18,FALSE()),4),0) + IF(ISNUMBER(VLOOKUP("5.1.1.3",A3:T105,18,FALSE())),ROUND(VLOOKUP("5.1.1.3",A3:T105,18,FALSE()),4),0) + IF(ISNA(VLOOKUP("5.1.1.4",A3:T105,18,FALSE())),0,ROUND(VLOOKUP("5.1.1.4",A3:T105,18,FALSE()),4))</f>
        <v>0</v>
      </c>
      <c r="S46" s="12" t="n">
        <f aca="false">IF(ISNUMBER(VLOOKUP("5.1.1.1",A3:T105,19,FALSE())),ROUND(VLOOKUP("5.1.1.1",A3:T105,19,FALSE()),4),0) + IF(ISNUMBER(VLOOKUP("5.1.1.2",A3:T105,19,FALSE())),ROUND(VLOOKUP("5.1.1.2",A3:T105,19,FALSE()),4),0) + IF(ISNUMBER(VLOOKUP("5.1.1.3",A3:T105,19,FALSE())),ROUND(VLOOKUP("5.1.1.3",A3:T105,19,FALSE()),4),0) + IF(ISNA(VLOOKUP("5.1.1.4",A3:T105,19,FALSE())),0,ROUND(VLOOKUP("5.1.1.4",A3:T105,19,FALSE()),4))</f>
        <v>0</v>
      </c>
      <c r="T46" s="12" t="n">
        <f aca="false">IF(ISNUMBER(VLOOKUP("5.1.1.1",A3:T105,20,FALSE())),ROUND(VLOOKUP("5.1.1.1",A3:T105,20,FALSE()),4),0) + IF(ISNUMBER(VLOOKUP("5.1.1.2",A3:T105,20,FALSE())),ROUND(VLOOKUP("5.1.1.2",A3:T105,20,FALSE()),4),0) + IF(ISNUMBER(VLOOKUP("5.1.1.3",A3:T105,20,FALSE())),ROUND(VLOOKUP("5.1.1.3",A3:T105,20,FALSE()),4),0) + IF(ISNA(VLOOKUP("5.1.1.4",A3:T105,20,FALSE())),0,ROUND(VLOOKUP("5.1.1.4",A3:T105,20,FALSE()),4))</f>
        <v>0</v>
      </c>
    </row>
    <row r="47" customFormat="false" ht="27" hidden="false" customHeight="true" outlineLevel="0" collapsed="false">
      <c r="A47" s="7" t="s">
        <v>102</v>
      </c>
      <c r="B47" s="8" t="s">
        <v>103</v>
      </c>
      <c r="C47" s="11" t="n">
        <v>0</v>
      </c>
      <c r="D47" s="11" t="n">
        <v>0</v>
      </c>
      <c r="E47" s="11" t="n">
        <v>0</v>
      </c>
      <c r="F47" s="11" t="n">
        <v>0</v>
      </c>
      <c r="G47" s="11" t="n">
        <v>0</v>
      </c>
      <c r="H47" s="11" t="n">
        <v>0</v>
      </c>
      <c r="I47" s="11" t="n">
        <v>0</v>
      </c>
      <c r="J47" s="11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</row>
    <row r="48" customFormat="false" ht="27" hidden="false" customHeight="true" outlineLevel="0" collapsed="false">
      <c r="A48" s="7" t="s">
        <v>104</v>
      </c>
      <c r="B48" s="8" t="s">
        <v>105</v>
      </c>
      <c r="C48" s="11" t="n">
        <v>0</v>
      </c>
      <c r="D48" s="11" t="n">
        <v>0</v>
      </c>
      <c r="E48" s="11" t="n">
        <v>0</v>
      </c>
      <c r="F48" s="11" t="n">
        <v>0</v>
      </c>
      <c r="G48" s="11" t="n">
        <v>0</v>
      </c>
      <c r="H48" s="11" t="n">
        <v>0</v>
      </c>
      <c r="I48" s="11" t="n">
        <v>0</v>
      </c>
      <c r="J48" s="11" t="n">
        <v>0</v>
      </c>
      <c r="K48" s="12" t="n">
        <v>0</v>
      </c>
      <c r="L48" s="12" t="n">
        <v>0</v>
      </c>
      <c r="M48" s="12" t="n">
        <v>0</v>
      </c>
      <c r="N48" s="12" t="n">
        <v>0</v>
      </c>
      <c r="O48" s="12" t="n">
        <v>0</v>
      </c>
      <c r="P48" s="12" t="n">
        <v>0</v>
      </c>
      <c r="Q48" s="12" t="n">
        <v>0</v>
      </c>
      <c r="R48" s="12" t="n">
        <v>0</v>
      </c>
      <c r="S48" s="12" t="n">
        <v>0</v>
      </c>
      <c r="T48" s="12" t="n">
        <v>0</v>
      </c>
    </row>
    <row r="49" customFormat="false" ht="27" hidden="false" customHeight="true" outlineLevel="0" collapsed="false">
      <c r="A49" s="7" t="s">
        <v>106</v>
      </c>
      <c r="B49" s="8" t="s">
        <v>107</v>
      </c>
      <c r="C49" s="11" t="n">
        <f aca="false">IF(ISNUMBER(VLOOKUP("5.1.1.3.1",A3:T105,3,FALSE())),ROUND(VLOOKUP("5.1.1.3.1",A3:T105,3,FALSE()),4),0) + IF(ISNUMBER(VLOOKUP("5.1.1.3.2",A3:T105,3,FALSE())),ROUND(VLOOKUP("5.1.1.3.2",A3:T105,3,FALSE()),4),0) + IF(ISNUMBER(VLOOKUP("5.1.1.3.3",A3:T105,3,FALSE())),ROUND(VLOOKUP("5.1.1.3.3",A3:T105,3,FALSE()),4),0)</f>
        <v>0</v>
      </c>
      <c r="D49" s="11" t="n">
        <f aca="false">IF(ISNUMBER(VLOOKUP("5.1.1.3.1",A3:T105,4,FALSE())),ROUND(VLOOKUP("5.1.1.3.1",A3:T105,4,FALSE()),4),0) + IF(ISNUMBER(VLOOKUP("5.1.1.3.2",A3:T105,4,FALSE())),ROUND(VLOOKUP("5.1.1.3.2",A3:T105,4,FALSE()),4),0) + IF(ISNUMBER(VLOOKUP("5.1.1.3.3",A3:T105,4,FALSE())),ROUND(VLOOKUP("5.1.1.3.3",A3:T105,4,FALSE()),4),0)</f>
        <v>0</v>
      </c>
      <c r="E49" s="11" t="n">
        <f aca="false">IF(ISNUMBER(VLOOKUP("5.1.1.3.1",A3:T105,5,FALSE())),ROUND(VLOOKUP("5.1.1.3.1",A3:T105,5,FALSE()),4),0) + IF(ISNUMBER(VLOOKUP("5.1.1.3.2",A3:T105,5,FALSE())),ROUND(VLOOKUP("5.1.1.3.2",A3:T105,5,FALSE()),4),0) + IF(ISNUMBER(VLOOKUP("5.1.1.3.3",A3:T105,5,FALSE())),ROUND(VLOOKUP("5.1.1.3.3",A3:T105,5,FALSE()),4),0)</f>
        <v>0</v>
      </c>
      <c r="F49" s="11" t="n">
        <f aca="false">IF(ISNUMBER(VLOOKUP("5.1.1.3.1",A3:T105,6,FALSE())),ROUND(VLOOKUP("5.1.1.3.1",A3:T105,6,FALSE()),4),0) + IF(ISNUMBER(VLOOKUP("5.1.1.3.2",A3:T105,6,FALSE())),ROUND(VLOOKUP("5.1.1.3.2",A3:T105,6,FALSE()),4),0) + IF(ISNUMBER(VLOOKUP("5.1.1.3.3",A3:T105,6,FALSE())),ROUND(VLOOKUP("5.1.1.3.3",A3:T105,6,FALSE()),4),0)</f>
        <v>0</v>
      </c>
      <c r="G49" s="11" t="n">
        <f aca="false">IF(ISNUMBER(VLOOKUP("5.1.1.3.1",A3:T105,7,FALSE())),ROUND(VLOOKUP("5.1.1.3.1",A3:T105,7,FALSE()),4),0) + IF(ISNUMBER(VLOOKUP("5.1.1.3.2",A3:T105,7,FALSE())),ROUND(VLOOKUP("5.1.1.3.2",A3:T105,7,FALSE()),4),0) + IF(ISNUMBER(VLOOKUP("5.1.1.3.3",A3:T105,7,FALSE())),ROUND(VLOOKUP("5.1.1.3.3",A3:T105,7,FALSE()),4),0)</f>
        <v>0</v>
      </c>
      <c r="H49" s="11" t="n">
        <f aca="false">IF(ISNUMBER(VLOOKUP("5.1.1.3.1",A3:T105,8,FALSE())),ROUND(VLOOKUP("5.1.1.3.1",A3:T105,8,FALSE()),4),0) + IF(ISNUMBER(VLOOKUP("5.1.1.3.2",A3:T105,8,FALSE())),ROUND(VLOOKUP("5.1.1.3.2",A3:T105,8,FALSE()),4),0) + IF(ISNUMBER(VLOOKUP("5.1.1.3.3",A3:T105,8,FALSE())),ROUND(VLOOKUP("5.1.1.3.3",A3:T105,8,FALSE()),4),0)</f>
        <v>0</v>
      </c>
      <c r="I49" s="11" t="n">
        <f aca="false">IF(ISNUMBER(VLOOKUP("5.1.1.3.1",A3:T105,9,FALSE())),ROUND(VLOOKUP("5.1.1.3.1",A3:T105,9,FALSE()),4),0) + IF(ISNUMBER(VLOOKUP("5.1.1.3.2",A3:T105,9,FALSE())),ROUND(VLOOKUP("5.1.1.3.2",A3:T105,9,FALSE()),4),0) + IF(ISNUMBER(VLOOKUP("5.1.1.3.3",A3:T105,9,FALSE())),ROUND(VLOOKUP("5.1.1.3.3",A3:T105,9,FALSE()),4),0)</f>
        <v>0</v>
      </c>
      <c r="J49" s="11" t="n">
        <f aca="false">IF(ISNUMBER(VLOOKUP("5.1.1.3.1",A3:T105,10,FALSE())),ROUND(VLOOKUP("5.1.1.3.1",A3:T105,10,FALSE()),4),0) + IF(ISNUMBER(VLOOKUP("5.1.1.3.2",A3:T105,10,FALSE())),ROUND(VLOOKUP("5.1.1.3.2",A3:T105,10,FALSE()),4),0) + IF(ISNUMBER(VLOOKUP("5.1.1.3.3",A3:T105,10,FALSE())),ROUND(VLOOKUP("5.1.1.3.3",A3:T105,10,FALSE()),4),0)</f>
        <v>0</v>
      </c>
      <c r="K49" s="12" t="n">
        <f aca="false">IF(ISNUMBER(VLOOKUP("5.1.1.3.1",A3:T105,11,FALSE())),ROUND(VLOOKUP("5.1.1.3.1",A3:T105,11,FALSE()),4),0) + IF(ISNUMBER(VLOOKUP("5.1.1.3.2",A3:T105,11,FALSE())),ROUND(VLOOKUP("5.1.1.3.2",A3:T105,11,FALSE()),4),0) + IF(ISNUMBER(VLOOKUP("5.1.1.3.3",A3:T105,11,FALSE())),ROUND(VLOOKUP("5.1.1.3.3",A3:T105,11,FALSE()),4),0)</f>
        <v>0</v>
      </c>
      <c r="L49" s="12" t="n">
        <f aca="false">IF(ISNUMBER(VLOOKUP("5.1.1.3.1",A3:T105,12,FALSE())),ROUND(VLOOKUP("5.1.1.3.1",A3:T105,12,FALSE()),4),0) + IF(ISNUMBER(VLOOKUP("5.1.1.3.2",A3:T105,12,FALSE())),ROUND(VLOOKUP("5.1.1.3.2",A3:T105,12,FALSE()),4),0) + IF(ISNUMBER(VLOOKUP("5.1.1.3.3",A3:T105,12,FALSE())),ROUND(VLOOKUP("5.1.1.3.3",A3:T105,12,FALSE()),4),0)</f>
        <v>0</v>
      </c>
      <c r="M49" s="12" t="n">
        <f aca="false">IF(ISNUMBER(VLOOKUP("5.1.1.3.1",A3:T105,13,FALSE())),ROUND(VLOOKUP("5.1.1.3.1",A3:T105,13,FALSE()),4),0) + IF(ISNUMBER(VLOOKUP("5.1.1.3.2",A3:T105,13,FALSE())),ROUND(VLOOKUP("5.1.1.3.2",A3:T105,13,FALSE()),4),0) + IF(ISNUMBER(VLOOKUP("5.1.1.3.3",A3:T105,13,FALSE())),ROUND(VLOOKUP("5.1.1.3.3",A3:T105,13,FALSE()),4),0)</f>
        <v>0</v>
      </c>
      <c r="N49" s="12" t="n">
        <f aca="false">IF(ISNUMBER(VLOOKUP("5.1.1.3.1",A3:T105,14,FALSE())),ROUND(VLOOKUP("5.1.1.3.1",A3:T105,14,FALSE()),4),0) + IF(ISNUMBER(VLOOKUP("5.1.1.3.2",A3:T105,14,FALSE())),ROUND(VLOOKUP("5.1.1.3.2",A3:T105,14,FALSE()),4),0) + IF(ISNUMBER(VLOOKUP("5.1.1.3.3",A3:T105,14,FALSE())),ROUND(VLOOKUP("5.1.1.3.3",A3:T105,14,FALSE()),4),0)</f>
        <v>0</v>
      </c>
      <c r="O49" s="12" t="n">
        <f aca="false">IF(ISNUMBER(VLOOKUP("5.1.1.3.1",A3:T105,15,FALSE())),ROUND(VLOOKUP("5.1.1.3.1",A3:T105,15,FALSE()),4),0) + IF(ISNUMBER(VLOOKUP("5.1.1.3.2",A3:T105,15,FALSE())),ROUND(VLOOKUP("5.1.1.3.2",A3:T105,15,FALSE()),4),0) + IF(ISNUMBER(VLOOKUP("5.1.1.3.3",A3:T105,15,FALSE())),ROUND(VLOOKUP("5.1.1.3.3",A3:T105,15,FALSE()),4),0)</f>
        <v>0</v>
      </c>
      <c r="P49" s="12" t="n">
        <f aca="false">IF(ISNUMBER(VLOOKUP("5.1.1.3.1",A3:T105,16,FALSE())),ROUND(VLOOKUP("5.1.1.3.1",A3:T105,16,FALSE()),4),0) + IF(ISNUMBER(VLOOKUP("5.1.1.3.2",A3:T105,16,FALSE())),ROUND(VLOOKUP("5.1.1.3.2",A3:T105,16,FALSE()),4),0) + IF(ISNUMBER(VLOOKUP("5.1.1.3.3",A3:T105,16,FALSE())),ROUND(VLOOKUP("5.1.1.3.3",A3:T105,16,FALSE()),4),0)</f>
        <v>0</v>
      </c>
      <c r="Q49" s="12" t="n">
        <f aca="false">IF(ISNUMBER(VLOOKUP("5.1.1.3.1",A3:T105,17,FALSE())),ROUND(VLOOKUP("5.1.1.3.1",A3:T105,17,FALSE()),4),0) + IF(ISNUMBER(VLOOKUP("5.1.1.3.2",A3:T105,17,FALSE())),ROUND(VLOOKUP("5.1.1.3.2",A3:T105,17,FALSE()),4),0) + IF(ISNUMBER(VLOOKUP("5.1.1.3.3",A3:T105,17,FALSE())),ROUND(VLOOKUP("5.1.1.3.3",A3:T105,17,FALSE()),4),0)</f>
        <v>0</v>
      </c>
      <c r="R49" s="12" t="n">
        <f aca="false">IF(ISNUMBER(VLOOKUP("5.1.1.3.1",A3:T105,18,FALSE())),ROUND(VLOOKUP("5.1.1.3.1",A3:T105,18,FALSE()),4),0) + IF(ISNUMBER(VLOOKUP("5.1.1.3.2",A3:T105,18,FALSE())),ROUND(VLOOKUP("5.1.1.3.2",A3:T105,18,FALSE()),4),0) + IF(ISNUMBER(VLOOKUP("5.1.1.3.3",A3:T105,18,FALSE())),ROUND(VLOOKUP("5.1.1.3.3",A3:T105,18,FALSE()),4),0)</f>
        <v>0</v>
      </c>
      <c r="S49" s="12" t="n">
        <f aca="false">IF(ISNUMBER(VLOOKUP("5.1.1.3.1",A3:T105,19,FALSE())),ROUND(VLOOKUP("5.1.1.3.1",A3:T105,19,FALSE()),4),0) + IF(ISNUMBER(VLOOKUP("5.1.1.3.2",A3:T105,19,FALSE())),ROUND(VLOOKUP("5.1.1.3.2",A3:T105,19,FALSE()),4),0) + IF(ISNUMBER(VLOOKUP("5.1.1.3.3",A3:T105,19,FALSE())),ROUND(VLOOKUP("5.1.1.3.3",A3:T105,19,FALSE()),4),0)</f>
        <v>0</v>
      </c>
      <c r="T49" s="12" t="n">
        <f aca="false">IF(ISNUMBER(VLOOKUP("5.1.1.3.1",A3:T105,20,FALSE())),ROUND(VLOOKUP("5.1.1.3.1",A3:T105,20,FALSE()),4),0) + IF(ISNUMBER(VLOOKUP("5.1.1.3.2",A3:T105,20,FALSE())),ROUND(VLOOKUP("5.1.1.3.2",A3:T105,20,FALSE()),4),0) + IF(ISNUMBER(VLOOKUP("5.1.1.3.3",A3:T105,20,FALSE())),ROUND(VLOOKUP("5.1.1.3.3",A3:T105,20,FALSE()),4),0)</f>
        <v>0</v>
      </c>
    </row>
    <row r="50" customFormat="false" ht="14.25" hidden="false" customHeight="true" outlineLevel="0" collapsed="false">
      <c r="A50" s="7" t="s">
        <v>108</v>
      </c>
      <c r="B50" s="8" t="s">
        <v>109</v>
      </c>
      <c r="C50" s="11" t="n">
        <v>0</v>
      </c>
      <c r="D50" s="11" t="n">
        <v>0</v>
      </c>
      <c r="E50" s="11" t="n">
        <v>0</v>
      </c>
      <c r="F50" s="11" t="n">
        <v>0</v>
      </c>
      <c r="G50" s="11" t="n">
        <v>0</v>
      </c>
      <c r="H50" s="11" t="n">
        <v>0</v>
      </c>
      <c r="I50" s="11" t="n">
        <v>0</v>
      </c>
      <c r="J50" s="11" t="n">
        <v>0</v>
      </c>
      <c r="K50" s="12" t="n">
        <v>0</v>
      </c>
      <c r="L50" s="12" t="n">
        <v>0</v>
      </c>
      <c r="M50" s="12" t="n">
        <v>0</v>
      </c>
      <c r="N50" s="12" t="n">
        <v>0</v>
      </c>
      <c r="O50" s="12" t="n">
        <v>0</v>
      </c>
      <c r="P50" s="12" t="n">
        <v>0</v>
      </c>
      <c r="Q50" s="12" t="n">
        <v>0</v>
      </c>
      <c r="R50" s="12" t="n">
        <v>0</v>
      </c>
      <c r="S50" s="12" t="n">
        <v>0</v>
      </c>
      <c r="T50" s="12" t="n">
        <v>0</v>
      </c>
    </row>
    <row r="51" customFormat="false" ht="27" hidden="false" customHeight="true" outlineLevel="0" collapsed="false">
      <c r="A51" s="7" t="s">
        <v>110</v>
      </c>
      <c r="B51" s="8" t="s">
        <v>111</v>
      </c>
      <c r="C51" s="11" t="n">
        <v>0</v>
      </c>
      <c r="D51" s="11" t="n">
        <v>0</v>
      </c>
      <c r="E51" s="11" t="n">
        <v>0</v>
      </c>
      <c r="F51" s="11" t="n">
        <v>0</v>
      </c>
      <c r="G51" s="11" t="n">
        <v>0</v>
      </c>
      <c r="H51" s="11" t="n">
        <v>0</v>
      </c>
      <c r="I51" s="11" t="n">
        <v>0</v>
      </c>
      <c r="J51" s="11" t="n">
        <v>0</v>
      </c>
      <c r="K51" s="12" t="n">
        <v>0</v>
      </c>
      <c r="L51" s="12" t="n">
        <v>0</v>
      </c>
      <c r="M51" s="12" t="n">
        <v>0</v>
      </c>
      <c r="N51" s="12" t="n">
        <v>0</v>
      </c>
      <c r="O51" s="12" t="n">
        <v>0</v>
      </c>
      <c r="P51" s="12" t="n">
        <v>0</v>
      </c>
      <c r="Q51" s="12" t="n">
        <v>0</v>
      </c>
      <c r="R51" s="12" t="n">
        <v>0</v>
      </c>
      <c r="S51" s="12" t="n">
        <v>0</v>
      </c>
      <c r="T51" s="12" t="n">
        <v>0</v>
      </c>
    </row>
    <row r="52" customFormat="false" ht="14.25" hidden="false" customHeight="true" outlineLevel="0" collapsed="false">
      <c r="A52" s="7" t="s">
        <v>112</v>
      </c>
      <c r="B52" s="8" t="s">
        <v>113</v>
      </c>
      <c r="C52" s="11" t="n">
        <v>0</v>
      </c>
      <c r="D52" s="11" t="n">
        <v>0</v>
      </c>
      <c r="E52" s="11" t="n">
        <v>0</v>
      </c>
      <c r="F52" s="11" t="n">
        <v>0</v>
      </c>
      <c r="G52" s="11" t="n">
        <v>0</v>
      </c>
      <c r="H52" s="11" t="n">
        <v>0</v>
      </c>
      <c r="I52" s="11" t="n">
        <v>0</v>
      </c>
      <c r="J52" s="11" t="n">
        <v>0</v>
      </c>
      <c r="K52" s="12" t="n">
        <v>0</v>
      </c>
      <c r="L52" s="12" t="n">
        <v>0</v>
      </c>
      <c r="M52" s="12" t="n">
        <v>0</v>
      </c>
      <c r="N52" s="12" t="n">
        <v>0</v>
      </c>
      <c r="O52" s="12" t="n">
        <v>0</v>
      </c>
      <c r="P52" s="12" t="n">
        <v>0</v>
      </c>
      <c r="Q52" s="12" t="n">
        <v>0</v>
      </c>
      <c r="R52" s="12" t="n">
        <v>0</v>
      </c>
      <c r="S52" s="12" t="n">
        <v>0</v>
      </c>
      <c r="T52" s="12" t="n">
        <v>0</v>
      </c>
    </row>
    <row r="53" customFormat="false" ht="27" hidden="false" customHeight="true" outlineLevel="0" collapsed="false">
      <c r="A53" s="7" t="s">
        <v>114</v>
      </c>
      <c r="B53" s="8" t="s">
        <v>115</v>
      </c>
      <c r="C53" s="11" t="n">
        <v>0</v>
      </c>
      <c r="D53" s="11" t="n">
        <v>0</v>
      </c>
      <c r="E53" s="11" t="n">
        <v>0</v>
      </c>
      <c r="F53" s="11" t="n">
        <v>0</v>
      </c>
      <c r="G53" s="11" t="n">
        <v>0</v>
      </c>
      <c r="H53" s="11" t="n">
        <v>0</v>
      </c>
      <c r="I53" s="11" t="n">
        <v>0</v>
      </c>
      <c r="J53" s="11" t="n">
        <v>0</v>
      </c>
      <c r="K53" s="12" t="n">
        <v>0</v>
      </c>
      <c r="L53" s="12" t="n">
        <v>0</v>
      </c>
      <c r="M53" s="12" t="n">
        <v>0</v>
      </c>
      <c r="N53" s="12" t="n">
        <v>0</v>
      </c>
      <c r="O53" s="12" t="n">
        <v>0</v>
      </c>
      <c r="P53" s="12" t="n">
        <v>0</v>
      </c>
      <c r="Q53" s="12" t="n">
        <v>0</v>
      </c>
      <c r="R53" s="12" t="n">
        <v>0</v>
      </c>
      <c r="S53" s="12" t="n">
        <v>0</v>
      </c>
      <c r="T53" s="12" t="n">
        <v>0</v>
      </c>
    </row>
    <row r="54" customFormat="false" ht="14.25" hidden="false" customHeight="true" outlineLevel="0" collapsed="false">
      <c r="A54" s="3" t="s">
        <v>116</v>
      </c>
      <c r="B54" s="4" t="s">
        <v>117</v>
      </c>
      <c r="C54" s="13" t="n">
        <v>0</v>
      </c>
      <c r="D54" s="13" t="n">
        <v>0</v>
      </c>
      <c r="E54" s="13" t="n">
        <v>0</v>
      </c>
      <c r="F54" s="13" t="n">
        <v>0</v>
      </c>
      <c r="G54" s="13" t="n">
        <v>0</v>
      </c>
      <c r="H54" s="13" t="n">
        <v>0</v>
      </c>
      <c r="I54" s="13" t="n">
        <v>0</v>
      </c>
      <c r="J54" s="13" t="n">
        <v>0</v>
      </c>
      <c r="K54" s="14" t="n">
        <v>0</v>
      </c>
      <c r="L54" s="14" t="n">
        <v>0</v>
      </c>
      <c r="M54" s="14" t="n">
        <v>0</v>
      </c>
      <c r="N54" s="14" t="n">
        <v>0</v>
      </c>
      <c r="O54" s="14" t="n">
        <v>0</v>
      </c>
      <c r="P54" s="14" t="n">
        <v>0</v>
      </c>
      <c r="Q54" s="14" t="n">
        <v>0</v>
      </c>
      <c r="R54" s="14" t="n">
        <v>0</v>
      </c>
      <c r="S54" s="14" t="n">
        <v>0</v>
      </c>
      <c r="T54" s="14" t="n">
        <v>0</v>
      </c>
    </row>
    <row r="55" customFormat="false" ht="14.25" hidden="false" customHeight="true" outlineLevel="0" collapsed="false">
      <c r="A55" s="3" t="s">
        <v>118</v>
      </c>
      <c r="B55" s="4" t="s">
        <v>119</v>
      </c>
      <c r="C55" s="5" t="n">
        <v>4587000</v>
      </c>
      <c r="D55" s="5" t="n">
        <v>3780500</v>
      </c>
      <c r="E55" s="5" t="n">
        <v>3200000</v>
      </c>
      <c r="F55" s="5" t="n">
        <v>2800000</v>
      </c>
      <c r="G55" s="5" t="n">
        <v>1000000</v>
      </c>
      <c r="H55" s="5" t="n">
        <v>800000</v>
      </c>
      <c r="I55" s="5" t="n">
        <v>4600000</v>
      </c>
      <c r="J55" s="5" t="n">
        <v>4600000</v>
      </c>
      <c r="K55" s="6" t="n">
        <v>4000000</v>
      </c>
      <c r="L55" s="6" t="n">
        <v>3400000</v>
      </c>
      <c r="M55" s="6" t="n">
        <v>2900000</v>
      </c>
      <c r="N55" s="6" t="n">
        <v>2400000</v>
      </c>
      <c r="O55" s="6" t="n">
        <v>2000000</v>
      </c>
      <c r="P55" s="6" t="n">
        <v>1600000</v>
      </c>
      <c r="Q55" s="6" t="n">
        <v>1200000</v>
      </c>
      <c r="R55" s="6" t="n">
        <v>800000</v>
      </c>
      <c r="S55" s="6" t="n">
        <v>400000</v>
      </c>
      <c r="T55" s="6" t="n">
        <v>0</v>
      </c>
    </row>
    <row r="56" customFormat="false" ht="27" hidden="false" customHeight="true" outlineLevel="0" collapsed="false">
      <c r="A56" s="7" t="s">
        <v>120</v>
      </c>
      <c r="B56" s="8" t="s">
        <v>121</v>
      </c>
      <c r="C56" s="11" t="n">
        <v>0</v>
      </c>
      <c r="D56" s="11" t="n">
        <v>0</v>
      </c>
      <c r="E56" s="11" t="n">
        <v>0</v>
      </c>
      <c r="F56" s="11" t="n">
        <v>0</v>
      </c>
      <c r="G56" s="11" t="n">
        <v>0</v>
      </c>
      <c r="H56" s="11" t="n">
        <v>0</v>
      </c>
      <c r="I56" s="11" t="n">
        <v>0</v>
      </c>
      <c r="J56" s="11" t="n">
        <v>0</v>
      </c>
      <c r="K56" s="12" t="n">
        <v>0</v>
      </c>
      <c r="L56" s="12" t="n">
        <v>0</v>
      </c>
      <c r="M56" s="12" t="n">
        <v>0</v>
      </c>
      <c r="N56" s="12" t="n">
        <v>0</v>
      </c>
      <c r="O56" s="12" t="n">
        <v>0</v>
      </c>
      <c r="P56" s="12" t="n">
        <v>0</v>
      </c>
      <c r="Q56" s="12" t="n">
        <v>0</v>
      </c>
      <c r="R56" s="12" t="n">
        <v>0</v>
      </c>
      <c r="S56" s="12" t="n">
        <v>0</v>
      </c>
      <c r="T56" s="12" t="n">
        <v>0</v>
      </c>
    </row>
    <row r="57" customFormat="false" ht="27" hidden="false" customHeight="true" outlineLevel="0" collapsed="false">
      <c r="A57" s="3" t="s">
        <v>122</v>
      </c>
      <c r="B57" s="4" t="s">
        <v>123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customFormat="false" ht="27" hidden="false" customHeight="true" outlineLevel="0" collapsed="false">
      <c r="A58" s="7" t="s">
        <v>124</v>
      </c>
      <c r="B58" s="8" t="s">
        <v>125</v>
      </c>
      <c r="C58" s="11" t="n">
        <f aca="false">IF(ISNUMBER(VLOOKUP("1.1",A3:T105,3,FALSE())),ROUND(VLOOKUP("1.1",A3:T105,3,FALSE()),4),0) - IF(ISNUMBER(VLOOKUP("2.1",A3:T105,3,FALSE())),ROUND(VLOOKUP("2.1",A3:T105,3,FALSE()),4),0)</f>
        <v>1766520.74</v>
      </c>
      <c r="D58" s="11" t="n">
        <f aca="false">IF(ISNUMBER(VLOOKUP("1.1",A3:T105,4,FALSE())),ROUND(VLOOKUP("1.1",A3:T105,4,FALSE()),4),0) - IF(ISNUMBER(VLOOKUP("2.1",A3:T105,4,FALSE())),ROUND(VLOOKUP("2.1",A3:T105,4,FALSE()),4),0)</f>
        <v>1271473.35</v>
      </c>
      <c r="E58" s="11" t="n">
        <f aca="false">IF(ISNUMBER(VLOOKUP("1.1",A3:T105,5,FALSE())),ROUND(VLOOKUP("1.1",A3:T105,5,FALSE()),4),0) - IF(ISNUMBER(VLOOKUP("2.1",A3:T105,5,FALSE())),ROUND(VLOOKUP("2.1",A3:T105,5,FALSE()),4),0)</f>
        <v>1368260.64</v>
      </c>
      <c r="F58" s="11" t="n">
        <f aca="false">IF(ISNUMBER(VLOOKUP("1.1",A3:T105,6,FALSE())),ROUND(VLOOKUP("1.1",A3:T105,6,FALSE()),4),0) - IF(ISNUMBER(VLOOKUP("2.1",A3:T105,6,FALSE())),ROUND(VLOOKUP("2.1",A3:T105,6,FALSE()),4),0)</f>
        <v>2960343.76</v>
      </c>
      <c r="G58" s="11" t="n">
        <f aca="false">IF(ISNUMBER(VLOOKUP("1.1",A3:T105,7,FALSE())),ROUND(VLOOKUP("1.1",A3:T105,7,FALSE()),4),0) - IF(ISNUMBER(VLOOKUP("2.1",A3:T105,7,FALSE())),ROUND(VLOOKUP("2.1",A3:T105,7,FALSE()),4),0)</f>
        <v>2095454.57</v>
      </c>
      <c r="H58" s="11" t="n">
        <f aca="false">IF(ISNUMBER(VLOOKUP("1.1",A3:T105,8,FALSE())),ROUND(VLOOKUP("1.1",A3:T105,8,FALSE()),4),0) - IF(ISNUMBER(VLOOKUP("2.1",A3:T105,8,FALSE())),ROUND(VLOOKUP("2.1",A3:T105,8,FALSE()),4),0)</f>
        <v>1506015.75</v>
      </c>
      <c r="I58" s="11" t="n">
        <f aca="false">IF(ISNUMBER(VLOOKUP("1.1",A3:T105,9,FALSE())),ROUND(VLOOKUP("1.1",A3:T105,9,FALSE()),4),0) - IF(ISNUMBER(VLOOKUP("2.1",A3:T105,9,FALSE())),ROUND(VLOOKUP("2.1",A3:T105,9,FALSE()),4),0)</f>
        <v>293055.050000001</v>
      </c>
      <c r="J58" s="11" t="n">
        <f aca="false">IF(ISNUMBER(VLOOKUP("1.1",A3:T105,10,FALSE())),ROUND(VLOOKUP("1.1",A3:T105,10,FALSE()),4),0) - IF(ISNUMBER(VLOOKUP("2.1",A3:T105,10,FALSE())),ROUND(VLOOKUP("2.1",A3:T105,10,FALSE()),4),0)</f>
        <v>1577902.54</v>
      </c>
      <c r="K58" s="12" t="n">
        <f aca="false">IF(ISNUMBER(VLOOKUP("1.1",A3:T105,11,FALSE())),ROUND(VLOOKUP("1.1",A3:T105,11,FALSE()),4),0) - IF(ISNUMBER(VLOOKUP("2.1",A3:T105,11,FALSE())),ROUND(VLOOKUP("2.1",A3:T105,11,FALSE()),4),0)</f>
        <v>242288.609999999</v>
      </c>
      <c r="L58" s="12" t="n">
        <f aca="false">IF(ISNUMBER(VLOOKUP("1.1",A3:T105,12,FALSE())),ROUND(VLOOKUP("1.1",A3:T105,12,FALSE()),4),0) - IF(ISNUMBER(VLOOKUP("2.1",A3:T105,12,FALSE())),ROUND(VLOOKUP("2.1",A3:T105,12,FALSE()),4),0)</f>
        <v>538146.57</v>
      </c>
      <c r="M58" s="12" t="n">
        <f aca="false">IF(ISNUMBER(VLOOKUP("1.1",A3:T105,13,FALSE())),ROUND(VLOOKUP("1.1",A3:T105,13,FALSE()),4),0) - IF(ISNUMBER(VLOOKUP("2.1",A3:T105,13,FALSE())),ROUND(VLOOKUP("2.1",A3:T105,13,FALSE()),4),0)</f>
        <v>511648.57</v>
      </c>
      <c r="N58" s="12" t="n">
        <f aca="false">IF(ISNUMBER(VLOOKUP("1.1",A3:T105,14,FALSE())),ROUND(VLOOKUP("1.1",A3:T105,14,FALSE()),4),0) - IF(ISNUMBER(VLOOKUP("2.1",A3:T105,14,FALSE())),ROUND(VLOOKUP("2.1",A3:T105,14,FALSE()),4),0)</f>
        <v>480238.57</v>
      </c>
      <c r="O58" s="12" t="n">
        <f aca="false">IF(ISNUMBER(VLOOKUP("1.1",A3:T105,15,FALSE())),ROUND(VLOOKUP("1.1",A3:T105,15,FALSE()),4),0) - IF(ISNUMBER(VLOOKUP("2.1",A3:T105,15,FALSE())),ROUND(VLOOKUP("2.1",A3:T105,15,FALSE()),4),0)</f>
        <v>521654.57</v>
      </c>
      <c r="P58" s="12" t="n">
        <f aca="false">IF(ISNUMBER(VLOOKUP("1.1",A3:T105,16,FALSE())),ROUND(VLOOKUP("1.1",A3:T105,16,FALSE()),4),0) - IF(ISNUMBER(VLOOKUP("2.1",A3:T105,16,FALSE())),ROUND(VLOOKUP("2.1",A3:T105,16,FALSE()),4),0)</f>
        <v>528469.57</v>
      </c>
      <c r="Q58" s="12" t="n">
        <f aca="false">IF(ISNUMBER(VLOOKUP("1.1",A3:T105,17,FALSE())),ROUND(VLOOKUP("1.1",A3:T105,17,FALSE()),4),0) - IF(ISNUMBER(VLOOKUP("2.1",A3:T105,17,FALSE())),ROUND(VLOOKUP("2.1",A3:T105,17,FALSE()),4),0)</f>
        <v>545197.57</v>
      </c>
      <c r="R58" s="12" t="n">
        <f aca="false">IF(ISNUMBER(VLOOKUP("1.1",A3:T105,18,FALSE())),ROUND(VLOOKUP("1.1",A3:T105,18,FALSE()),4),0) - IF(ISNUMBER(VLOOKUP("2.1",A3:T105,18,FALSE())),ROUND(VLOOKUP("2.1",A3:T105,18,FALSE()),4),0)</f>
        <v>576210.57</v>
      </c>
      <c r="S58" s="12" t="n">
        <f aca="false">IF(ISNUMBER(VLOOKUP("1.1",A3:T105,19,FALSE())),ROUND(VLOOKUP("1.1",A3:T105,19,FALSE()),4),0) - IF(ISNUMBER(VLOOKUP("2.1",A3:T105,19,FALSE())),ROUND(VLOOKUP("2.1",A3:T105,19,FALSE()),4),0)</f>
        <v>611892.57</v>
      </c>
      <c r="T58" s="12" t="n">
        <f aca="false">IF(ISNUMBER(VLOOKUP("1.1",A3:T105,20,FALSE())),ROUND(VLOOKUP("1.1",A3:T105,20,FALSE()),4),0) - IF(ISNUMBER(VLOOKUP("2.1",A3:T105,20,FALSE())),ROUND(VLOOKUP("2.1",A3:T105,20,FALSE()),4),0)</f>
        <v>652601.57</v>
      </c>
    </row>
    <row r="59" customFormat="false" ht="27" hidden="false" customHeight="true" outlineLevel="0" collapsed="false">
      <c r="A59" s="7" t="s">
        <v>126</v>
      </c>
      <c r="B59" s="8" t="s">
        <v>127</v>
      </c>
      <c r="C59" s="11" t="n">
        <f aca="false">IF(ISNUMBER(VLOOKUP("1.1",A3:T105,3,FALSE())),ROUND(VLOOKUP("1.1",A3:T105,3,FALSE()),4),0) - IF(ISNUMBER(VLOOKUP("2.1",A3:T105,3,FALSE())),ROUND(VLOOKUP("2.1",A3:T105,3,FALSE()),4),0) + IF(ISNUMBER(VLOOKUP("4.2",A3:T105,3,FALSE())),ROUND(VLOOKUP("4.2",A3:T105,3,FALSE()),4),0) + IF(ISNUMBER(VLOOKUP("4.3",A3:T105,3,FALSE())),ROUND(VLOOKUP("4.3",A3:T105,3,FALSE()),4),0)</f>
        <v>2530694.64</v>
      </c>
      <c r="D59" s="11" t="n">
        <f aca="false">IF(ISNUMBER(VLOOKUP("1.1",A3:T105,4,FALSE())),ROUND(VLOOKUP("1.1",A3:T105,4,FALSE()),4),0) - IF(ISNUMBER(VLOOKUP("2.1",A3:T105,4,FALSE())),ROUND(VLOOKUP("2.1",A3:T105,4,FALSE()),4),0) + IF(ISNUMBER(VLOOKUP("4.2",A3:T105,4,FALSE())),ROUND(VLOOKUP("4.2",A3:T105,4,FALSE()),4),0) + IF(ISNUMBER(VLOOKUP("4.3",A3:T105,4,FALSE())),ROUND(VLOOKUP("4.3",A3:T105,4,FALSE()),4),0)</f>
        <v>5313466.85</v>
      </c>
      <c r="E59" s="11" t="n">
        <f aca="false">IF(ISNUMBER(VLOOKUP("1.1",A3:T105,5,FALSE())),ROUND(VLOOKUP("1.1",A3:T105,5,FALSE()),4),0) - IF(ISNUMBER(VLOOKUP("2.1",A3:T105,5,FALSE())),ROUND(VLOOKUP("2.1",A3:T105,5,FALSE()),4),0) + IF(ISNUMBER(VLOOKUP("4.2",A3:T105,5,FALSE())),ROUND(VLOOKUP("4.2",A3:T105,5,FALSE()),4),0) + IF(ISNUMBER(VLOOKUP("4.3",A3:T105,5,FALSE())),ROUND(VLOOKUP("4.3",A3:T105,5,FALSE()),4),0)</f>
        <v>5851799.19</v>
      </c>
      <c r="F59" s="11" t="n">
        <f aca="false">IF(ISNUMBER(VLOOKUP("1.1",A3:T105,6,FALSE())),ROUND(VLOOKUP("1.1",A3:T105,6,FALSE()),4),0) - IF(ISNUMBER(VLOOKUP("2.1",A3:T105,6,FALSE())),ROUND(VLOOKUP("2.1",A3:T105,6,FALSE()),4),0) + IF(ISNUMBER(VLOOKUP("4.2",A3:T105,6,FALSE())),ROUND(VLOOKUP("4.2",A3:T105,6,FALSE()),4),0) + IF(ISNUMBER(VLOOKUP("4.3",A3:T105,6,FALSE())),ROUND(VLOOKUP("4.3",A3:T105,6,FALSE()),4),0) + IF(ISNUMBER(VLOOKUP("4.4",A3:T105,6,FALSE())),ROUND(VLOOKUP("4.4",A3:T105,6,FALSE()),4),0)</f>
        <v>7491329.43</v>
      </c>
      <c r="G59" s="11" t="n">
        <f aca="false">IF(ISNUMBER(VLOOKUP("1.1",A3:T105,7,FALSE())),ROUND(VLOOKUP("1.1",A3:T105,7,FALSE()),4),0) - IF(ISNUMBER(VLOOKUP("2.1",A3:T105,7,FALSE())),ROUND(VLOOKUP("2.1",A3:T105,7,FALSE()),4),0) + IF(ISNUMBER(VLOOKUP("4.2",A3:T105,7,FALSE())),ROUND(VLOOKUP("4.2",A3:T105,7,FALSE()),4),0) + IF(ISNUMBER(VLOOKUP("4.3",A3:T105,7,FALSE())),ROUND(VLOOKUP("4.3",A3:T105,7,FALSE()),4),0) + IF(ISNUMBER(VLOOKUP("4.4",A3:T105,7,FALSE())),ROUND(VLOOKUP("4.4",A3:T105,7,FALSE()),4),0)</f>
        <v>8399566.78</v>
      </c>
      <c r="H59" s="11" t="n">
        <f aca="false">IF(ISNUMBER(VLOOKUP("1.1",A3:T105,8,FALSE())),ROUND(VLOOKUP("1.1",A3:T105,8,FALSE()),4),0) - IF(ISNUMBER(VLOOKUP("2.1",A3:T105,8,FALSE())),ROUND(VLOOKUP("2.1",A3:T105,8,FALSE()),4),0) + IF(ISNUMBER(VLOOKUP("4.2",A3:T105,8,FALSE())),ROUND(VLOOKUP("4.2",A3:T105,8,FALSE()),4),0) + IF(ISNUMBER(VLOOKUP("4.3",A3:T105,8,FALSE())),ROUND(VLOOKUP("4.3",A3:T105,8,FALSE()),4),0) + IF(ISNUMBER(VLOOKUP("4.4",A3:T105,8,FALSE())),ROUND(VLOOKUP("4.4",A3:T105,8,FALSE()),4),0)</f>
        <v>5624448.23</v>
      </c>
      <c r="I59" s="11" t="n">
        <f aca="false">IF(ISNUMBER(VLOOKUP("1.1",A3:T105,9,FALSE())),ROUND(VLOOKUP("1.1",A3:T105,9,FALSE()),4),0) - IF(ISNUMBER(VLOOKUP("2.1",A3:T105,9,FALSE())),ROUND(VLOOKUP("2.1",A3:T105,9,FALSE()),4),0) + IF(ISNUMBER(VLOOKUP("4.2",A3:T105,9,FALSE())),ROUND(VLOOKUP("4.2",A3:T105,9,FALSE()),4),0) + IF(ISNUMBER(VLOOKUP("4.3",A3:T105,9,FALSE())),ROUND(VLOOKUP("4.3",A3:T105,9,FALSE()),4),0) + IF(ISNUMBER(VLOOKUP("4.4",A3:T105,9,FALSE())),ROUND(VLOOKUP("4.4",A3:T105,9,FALSE()),4),0)</f>
        <v>3246891.15</v>
      </c>
      <c r="J59" s="11" t="n">
        <f aca="false">IF(ISNUMBER(VLOOKUP("1.1",A3:T105,10,FALSE())),ROUND(VLOOKUP("1.1",A3:T105,10,FALSE()),4),0) - IF(ISNUMBER(VLOOKUP("2.1",A3:T105,10,FALSE())),ROUND(VLOOKUP("2.1",A3:T105,10,FALSE()),4),0) + IF(ISNUMBER(VLOOKUP("4.2",A3:T105,10,FALSE())),ROUND(VLOOKUP("4.2",A3:T105,10,FALSE()),4),0) + IF(ISNUMBER(VLOOKUP("4.3",A3:T105,10,FALSE())),ROUND(VLOOKUP("4.3",A3:T105,10,FALSE()),4),0) + IF(ISNUMBER(VLOOKUP("4.4",A3:T105,10,FALSE())),ROUND(VLOOKUP("4.4",A3:T105,10,FALSE()),4),0)</f>
        <v>4592638.64</v>
      </c>
      <c r="K59" s="12" t="n">
        <f aca="false">IF(ISNUMBER(VLOOKUP("1.1",A3:T105,11,FALSE())),ROUND(VLOOKUP("1.1",A3:T105,11,FALSE()),4),0) - IF(ISNUMBER(VLOOKUP("2.1",A3:T105,11,FALSE())),ROUND(VLOOKUP("2.1",A3:T105,11,FALSE()),4),0) + IF(ISNUMBER(VLOOKUP("4.2",A3:T105,11,FALSE())),ROUND(VLOOKUP("4.2",A3:T105,11,FALSE()),4),0) + IF(ISNUMBER(VLOOKUP("4.3",A3:T105,11,FALSE())),ROUND(VLOOKUP("4.3",A3:T105,11,FALSE()),4),0) + IF(ISNUMBER(VLOOKUP("4.4",A3:T105,11,FALSE())),ROUND(VLOOKUP("4.4",A3:T105,11,FALSE()),4),0)</f>
        <v>1170993.14</v>
      </c>
      <c r="L59" s="12" t="n">
        <f aca="false">IF(ISNUMBER(VLOOKUP("1.1",A3:T105,12,FALSE())),ROUND(VLOOKUP("1.1",A3:T105,12,FALSE()),4),0) - IF(ISNUMBER(VLOOKUP("2.1",A3:T105,12,FALSE())),ROUND(VLOOKUP("2.1",A3:T105,12,FALSE()),4),0) + IF(ISNUMBER(VLOOKUP("4.2",A3:T105,12,FALSE())),ROUND(VLOOKUP("4.2",A3:T105,12,FALSE()),4),0) + IF(ISNUMBER(VLOOKUP("4.3",A3:T105,12,FALSE())),ROUND(VLOOKUP("4.3",A3:T105,12,FALSE()),4),0) + IF(ISNUMBER(VLOOKUP("4.4",A3:T105,12,FALSE())),ROUND(VLOOKUP("4.4",A3:T105,12,FALSE()),4),0)</f>
        <v>538146.57</v>
      </c>
      <c r="M59" s="12" t="n">
        <f aca="false">IF(ISNUMBER(VLOOKUP("1.1",A3:T105,13,FALSE())),ROUND(VLOOKUP("1.1",A3:T105,13,FALSE()),4),0) - IF(ISNUMBER(VLOOKUP("2.1",A3:T105,13,FALSE())),ROUND(VLOOKUP("2.1",A3:T105,13,FALSE()),4),0) + IF(ISNUMBER(VLOOKUP("4.2",A3:T105,13,FALSE())),ROUND(VLOOKUP("4.2",A3:T105,13,FALSE()),4),0) + IF(ISNUMBER(VLOOKUP("4.3",A3:T105,13,FALSE())),ROUND(VLOOKUP("4.3",A3:T105,13,FALSE()),4),0) + IF(ISNUMBER(VLOOKUP("4.4",A3:T105,13,FALSE())),ROUND(VLOOKUP("4.4",A3:T105,13,FALSE()),4),0)</f>
        <v>511648.57</v>
      </c>
      <c r="N59" s="12" t="n">
        <f aca="false">IF(ISNUMBER(VLOOKUP("1.1",A3:T105,14,FALSE())),ROUND(VLOOKUP("1.1",A3:T105,14,FALSE()),4),0) - IF(ISNUMBER(VLOOKUP("2.1",A3:T105,14,FALSE())),ROUND(VLOOKUP("2.1",A3:T105,14,FALSE()),4),0) + IF(ISNUMBER(VLOOKUP("4.2",A3:T105,14,FALSE())),ROUND(VLOOKUP("4.2",A3:T105,14,FALSE()),4),0) + IF(ISNUMBER(VLOOKUP("4.3",A3:T105,14,FALSE())),ROUND(VLOOKUP("4.3",A3:T105,14,FALSE()),4),0) + IF(ISNUMBER(VLOOKUP("4.4",A3:T105,14,FALSE())),ROUND(VLOOKUP("4.4",A3:T105,14,FALSE()),4),0)</f>
        <v>480238.57</v>
      </c>
      <c r="O59" s="12" t="n">
        <f aca="false">IF(ISNUMBER(VLOOKUP("1.1",A3:T105,15,FALSE())),ROUND(VLOOKUP("1.1",A3:T105,15,FALSE()),4),0) - IF(ISNUMBER(VLOOKUP("2.1",A3:T105,15,FALSE())),ROUND(VLOOKUP("2.1",A3:T105,15,FALSE()),4),0) + IF(ISNUMBER(VLOOKUP("4.2",A3:T105,15,FALSE())),ROUND(VLOOKUP("4.2",A3:T105,15,FALSE()),4),0) + IF(ISNUMBER(VLOOKUP("4.4",A3:T105,15,FALSE())),ROUND(VLOOKUP("4.4",A3:T105,15,FALSE()),4),0)</f>
        <v>521654.57</v>
      </c>
      <c r="P59" s="12" t="n">
        <f aca="false">IF(ISNUMBER(VLOOKUP("1.1",A3:T105,16,FALSE())),ROUND(VLOOKUP("1.1",A3:T105,16,FALSE()),4),0) - IF(ISNUMBER(VLOOKUP("2.1",A3:T105,16,FALSE())),ROUND(VLOOKUP("2.1",A3:T105,16,FALSE()),4),0) + IF(ISNUMBER(VLOOKUP("4.2",A3:T105,16,FALSE())),ROUND(VLOOKUP("4.2",A3:T105,16,FALSE()),4),0) + IF(ISNUMBER(VLOOKUP("4.4",A3:T105,16,FALSE())),ROUND(VLOOKUP("4.4",A3:T105,16,FALSE()),4),0)</f>
        <v>528469.57</v>
      </c>
      <c r="Q59" s="12" t="n">
        <f aca="false">IF(ISNUMBER(VLOOKUP("1.1",A3:T105,17,FALSE())),ROUND(VLOOKUP("1.1",A3:T105,17,FALSE()),4),0) - IF(ISNUMBER(VLOOKUP("2.1",A3:T105,17,FALSE())),ROUND(VLOOKUP("2.1",A3:T105,17,FALSE()),4),0) + IF(ISNUMBER(VLOOKUP("4.2",A3:T105,17,FALSE())),ROUND(VLOOKUP("4.2",A3:T105,17,FALSE()),4),0) + IF(ISNUMBER(VLOOKUP("4.4",A3:T105,17,FALSE())),ROUND(VLOOKUP("4.4",A3:T105,17,FALSE()),4),0)</f>
        <v>545197.57</v>
      </c>
      <c r="R59" s="12" t="n">
        <f aca="false">IF(ISNUMBER(VLOOKUP("1.1",A3:T105,18,FALSE())),ROUND(VLOOKUP("1.1",A3:T105,18,FALSE()),4),0) - IF(ISNUMBER(VLOOKUP("2.1",A3:T105,18,FALSE())),ROUND(VLOOKUP("2.1",A3:T105,18,FALSE()),4),0) + IF(ISNUMBER(VLOOKUP("4.2",A3:T105,18,FALSE())),ROUND(VLOOKUP("4.2",A3:T105,18,FALSE()),4),0) + IF(ISNUMBER(VLOOKUP("4.4",A3:T105,18,FALSE())),ROUND(VLOOKUP("4.4",A3:T105,18,FALSE()),4),0)</f>
        <v>576210.57</v>
      </c>
      <c r="S59" s="12" t="n">
        <f aca="false">IF(ISNUMBER(VLOOKUP("1.1",A3:T105,19,FALSE())),ROUND(VLOOKUP("1.1",A3:T105,19,FALSE()),4),0) - IF(ISNUMBER(VLOOKUP("2.1",A3:T105,19,FALSE())),ROUND(VLOOKUP("2.1",A3:T105,19,FALSE()),4),0) + IF(ISNUMBER(VLOOKUP("4.2",A3:T105,19,FALSE())),ROUND(VLOOKUP("4.2",A3:T105,19,FALSE()),4),0) + IF(ISNUMBER(VLOOKUP("4.4",A3:T105,19,FALSE())),ROUND(VLOOKUP("4.4",A3:T105,19,FALSE()),4),0)</f>
        <v>611892.57</v>
      </c>
      <c r="T59" s="12" t="n">
        <f aca="false">IF(ISNUMBER(VLOOKUP("1.1",A3:T105,20,FALSE())),ROUND(VLOOKUP("1.1",A3:T105,20,FALSE()),4),0) - IF(ISNUMBER(VLOOKUP("2.1",A3:T105,20,FALSE())),ROUND(VLOOKUP("2.1",A3:T105,20,FALSE()),4),0) + IF(ISNUMBER(VLOOKUP("4.2",A3:T105,20,FALSE())),ROUND(VLOOKUP("4.2",A3:T105,20,FALSE()),4),0) + IF(ISNUMBER(VLOOKUP("4.4",A3:T105,20,FALSE())),ROUND(VLOOKUP("4.4",A3:T105,20,FALSE()),4),0)</f>
        <v>652601.57</v>
      </c>
    </row>
    <row r="60" customFormat="false" ht="45" hidden="true" customHeight="false" outlineLevel="0" collapsed="false">
      <c r="A60" s="7" t="s">
        <v>128</v>
      </c>
      <c r="B60" s="8" t="s">
        <v>129</v>
      </c>
      <c r="C60" s="11" t="n">
        <f aca="false">IF(ISNUMBER(VLOOKUP("7.2",A3:T105,3,FALSE())),ROUND(VLOOKUP("7.2",A3:T105,3,FALSE()),4),0) + IF(ISNUMBER(VLOOKUP("10.11.x",A3:T105,3,FALSE())),ROUND(VLOOKUP("10.11.x",A3:T105,3,FALSE()),4),0)</f>
        <v>2530694.64</v>
      </c>
      <c r="D60" s="11" t="n">
        <f aca="false">IF(ISNUMBER(VLOOKUP("7.2",A3:T105,4,FALSE())),ROUND(VLOOKUP("7.2",A3:T105,4,FALSE()),4),0) + IF(ISNUMBER(VLOOKUP("10.11.x",A3:T105,4,FALSE())),ROUND(VLOOKUP("10.11.x",A3:T105,4,FALSE()),4),0)</f>
        <v>5313466.85</v>
      </c>
      <c r="E60" s="11" t="n">
        <f aca="false">IF(ISNUMBER(VLOOKUP("7.2",A3:T105,5,FALSE())),ROUND(VLOOKUP("7.2",A3:T105,5,FALSE()),4),0) + IF(ISNUMBER(VLOOKUP("10.11.x",A3:T105,5,FALSE())),ROUND(VLOOKUP("10.11.x",A3:T105,5,FALSE()),4),0)</f>
        <v>5851799.19</v>
      </c>
      <c r="F60" s="11" t="n">
        <f aca="false">IF(ISNUMBER(VLOOKUP("7.2",A3:T105,6,FALSE())),ROUND(VLOOKUP("7.2",A3:T105,6,FALSE()),4),0) + IF(ISNUMBER(VLOOKUP("10.11.x",A3:T105,6,FALSE())),ROUND(VLOOKUP("10.11.x",A3:T105,6,FALSE()),4),0)</f>
        <v>7491329.43</v>
      </c>
      <c r="G60" s="11" t="n">
        <f aca="false">IF(ISNUMBER(VLOOKUP("7.2",A3:T105,7,FALSE())),ROUND(VLOOKUP("7.2",A3:T105,7,FALSE()),4),0) + IF(ISNUMBER(VLOOKUP("10.11.x",A3:T105,7,FALSE())),ROUND(VLOOKUP("10.11.x",A3:T105,7,FALSE()),4),0)</f>
        <v>8399566.78</v>
      </c>
      <c r="H60" s="11" t="n">
        <f aca="false">IF(ISNUMBER(VLOOKUP("7.2",A3:T105,8,FALSE())),ROUND(VLOOKUP("7.2",A3:T105,8,FALSE()),4),0) + IF(ISNUMBER(VLOOKUP("10.11.x",A3:T105,8,FALSE())),ROUND(VLOOKUP("10.11.x",A3:T105,8,FALSE()),4),0)</f>
        <v>5624448.23</v>
      </c>
      <c r="I60" s="11" t="n">
        <f aca="false">IF(ISNUMBER(VLOOKUP("7.2",A3:T105,9,FALSE())),ROUND(VLOOKUP("7.2",A3:T105,9,FALSE()),4),0) + IF(ISNUMBER(VLOOKUP("10.11.x",A3:T105,9,FALSE())),ROUND(VLOOKUP("10.11.x",A3:T105,9,FALSE()),4),0)</f>
        <v>3246891.15</v>
      </c>
      <c r="J60" s="11" t="n">
        <f aca="false">IF(ISNUMBER(VLOOKUP("7.2",A3:T105,10,FALSE())),ROUND(VLOOKUP("7.2",A3:T105,10,FALSE()),4),0) + IF(ISNUMBER(VLOOKUP("10.11.x",A3:T105,10,FALSE())),ROUND(VLOOKUP("10.11.x",A3:T105,10,FALSE()),4),0)</f>
        <v>4592638.64</v>
      </c>
      <c r="K60" s="12" t="n">
        <f aca="false">IF(ISNUMBER(VLOOKUP("7.2",A3:T105,11,FALSE())),ROUND(VLOOKUP("7.2",A3:T105,11,FALSE()),4),0) + IF(ISNUMBER(VLOOKUP("10.11.x",A3:T105,11,FALSE())),ROUND(VLOOKUP("10.11.x",A3:T105,11,FALSE()),4),0)</f>
        <v>1170993.14</v>
      </c>
      <c r="L60" s="12" t="n">
        <f aca="false">IF(ISNUMBER(VLOOKUP("7.2",A3:T105,12,FALSE())),ROUND(VLOOKUP("7.2",A3:T105,12,FALSE()),4),0) + IF(ISNUMBER(VLOOKUP("10.11.x",A3:T105,12,FALSE())),ROUND(VLOOKUP("10.11.x",A3:T105,12,FALSE()),4),0)</f>
        <v>538146.57</v>
      </c>
      <c r="M60" s="12" t="n">
        <f aca="false">IF(ISNUMBER(VLOOKUP("7.2",A3:T105,13,FALSE())),ROUND(VLOOKUP("7.2",A3:T105,13,FALSE()),4),0) + IF(ISNUMBER(VLOOKUP("10.11.x",A3:T105,13,FALSE())),ROUND(VLOOKUP("10.11.x",A3:T105,13,FALSE()),4),0)</f>
        <v>511648.57</v>
      </c>
      <c r="N60" s="12" t="n">
        <f aca="false">IF(ISNUMBER(VLOOKUP("7.2",A3:T105,14,FALSE())),ROUND(VLOOKUP("7.2",A3:T105,14,FALSE()),4),0) + IF(ISNUMBER(VLOOKUP("10.11.x",A3:T105,14,FALSE())),ROUND(VLOOKUP("10.11.x",A3:T105,14,FALSE()),4),0)</f>
        <v>480238.57</v>
      </c>
      <c r="O60" s="12" t="n">
        <f aca="false">IF(ISNUMBER(VLOOKUP("7.2",A3:T105,15,FALSE())),ROUND(VLOOKUP("7.2",A3:T105,15,FALSE()),4),0) + IF(ISNUMBER(VLOOKUP("10.11.x",A3:T105,15,FALSE())),ROUND(VLOOKUP("10.11.x",A3:T105,15,FALSE()),4),0)</f>
        <v>521654.57</v>
      </c>
      <c r="P60" s="12" t="n">
        <f aca="false">IF(ISNUMBER(VLOOKUP("7.2",A3:T105,16,FALSE())),ROUND(VLOOKUP("7.2",A3:T105,16,FALSE()),4),0) + IF(ISNUMBER(VLOOKUP("10.11.x",A3:T105,16,FALSE())),ROUND(VLOOKUP("10.11.x",A3:T105,16,FALSE()),4),0)</f>
        <v>528469.57</v>
      </c>
      <c r="Q60" s="12" t="n">
        <f aca="false">IF(ISNUMBER(VLOOKUP("7.2",A3:T105,17,FALSE())),ROUND(VLOOKUP("7.2",A3:T105,17,FALSE()),4),0) + IF(ISNUMBER(VLOOKUP("10.11.x",A3:T105,17,FALSE())),ROUND(VLOOKUP("10.11.x",A3:T105,17,FALSE()),4),0)</f>
        <v>545197.57</v>
      </c>
      <c r="R60" s="12" t="n">
        <f aca="false">IF(ISNUMBER(VLOOKUP("7.2",A3:T105,18,FALSE())),ROUND(VLOOKUP("7.2",A3:T105,18,FALSE()),4),0) + IF(ISNUMBER(VLOOKUP("10.11.x",A3:T105,18,FALSE())),ROUND(VLOOKUP("10.11.x",A3:T105,18,FALSE()),4),0)</f>
        <v>576210.57</v>
      </c>
      <c r="S60" s="12" t="n">
        <f aca="false">IF(ISNUMBER(VLOOKUP("7.2",A3:T105,19,FALSE())),ROUND(VLOOKUP("7.2",A3:T105,19,FALSE()),4),0) + IF(ISNUMBER(VLOOKUP("10.11.x",A3:T105,19,FALSE())),ROUND(VLOOKUP("10.11.x",A3:T105,19,FALSE()),4),0)</f>
        <v>611892.57</v>
      </c>
      <c r="T60" s="12" t="n">
        <f aca="false">IF(ISNUMBER(VLOOKUP("7.2",A3:T105,20,FALSE())),ROUND(VLOOKUP("7.2",A3:T105,20,FALSE()),4),0) + IF(ISNUMBER(VLOOKUP("10.11.x",A3:T105,20,FALSE())),ROUND(VLOOKUP("10.11.x",A3:T105,20,FALSE()),4),0)</f>
        <v>652601.57</v>
      </c>
    </row>
    <row r="61" customFormat="false" ht="14.25" hidden="false" customHeight="true" outlineLevel="0" collapsed="false">
      <c r="A61" s="3" t="s">
        <v>130</v>
      </c>
      <c r="B61" s="4" t="s">
        <v>131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customFormat="false" ht="65.25" hidden="false" customHeight="true" outlineLevel="0" collapsed="false">
      <c r="A62" s="15" t="s">
        <v>132</v>
      </c>
      <c r="B62" s="16" t="s">
        <v>133</v>
      </c>
      <c r="C62" s="17" t="n">
        <f aca="false">(IF(ISNUMBER(VLOOKUP("5.1",A3:T105,3,FALSE())),ROUND(VLOOKUP("5.1",A3:T105,3,FALSE()),4),0) - IF(ISNUMBER(VLOOKUP("5.1.1",A3:T105,3,FALSE())),ROUND(VLOOKUP("5.1.1",A3:T105,3,FALSE()),4),0) + IF(ISNUMBER(VLOOKUP("10.7.2.1",A3:T105,3,FALSE())),ROUND(VLOOKUP("10.7.2.1",A3:T105,3,FALSE()),4),0) - IF(ISNUMBER(VLOOKUP("10.9",A3:T105,3,FALSE())),ROUND(VLOOKUP("10.9",A3:T105,3,FALSE()),4),0) + IF(ISNUMBER(VLOOKUP("2.1.2",A3:T105,3,FALSE())),ROUND(VLOOKUP("2.1.2",A3:T105,3,FALSE()),4),0) - IF(ISNUMBER(VLOOKUP("2.1.2.1",A3:T105,3,FALSE())),ROUND(VLOOKUP("2.1.2.1",A3:T105,3,FALSE()),4),0) + IF(ISNUMBER(VLOOKUP("2.1.3",A3:T105,3,FALSE())),ROUND(VLOOKUP("2.1.3",A3:T105,3,FALSE()),4),0) - (IF(ISNUMBER(VLOOKUP("2.1.3.1",A3:T105,3,FALSE())),ROUND(VLOOKUP("2.1.3.1",A3:T105,3,FALSE()),4),0) + IF(ISNUMBER(VLOOKUP("2.1.3.2",A3:T105,3,FALSE())),ROUND(VLOOKUP("2.1.3.2",A3:T105,3,FALSE()),4),0) + IF(ISNA(VLOOKUP("2.1.3.3",A3:T105,3,FALSE())),0,ROUND(VLOOKUP("2.1.3.3",A3:T105,3,FALSE()),4))) + IF(ISNUMBER(VLOOKUP("10.4",A3:T105,3,FALSE())),ROUND(VLOOKUP("10.4",A3:T105,3,FALSE()),4),0)) / (IF(ISNUMBER(VLOOKUP("1.1",A3:T105,3,FALSE())),ROUND(VLOOKUP("1.1",A3:T105,3,FALSE()),4),0) - IF(ISNUMBER(VLOOKUP("1.1.4",A3:T105,3,FALSE())),ROUND(VLOOKUP("1.1.4",A3:T105,3,FALSE()),4),0) - IF(ISNA(VLOOKUP("11.1.1",A3:T105,3,FALSE())),0,ROUND(VLOOKUP("11.1.1",A3:T105,3,FALSE()),4)))</f>
        <v>0.0496210452559331</v>
      </c>
      <c r="D62" s="17" t="n">
        <f aca="false">(IF(ISNUMBER(VLOOKUP("5.1",A3:T105,4,FALSE())),ROUND(VLOOKUP("5.1",A3:T105,4,FALSE()),4),0) - IF(ISNUMBER(VLOOKUP("5.1.1",A3:T105,4,FALSE())),ROUND(VLOOKUP("5.1.1",A3:T105,4,FALSE()),4),0) + IF(ISNUMBER(VLOOKUP("10.7.2.1",A3:T105,4,FALSE())),ROUND(VLOOKUP("10.7.2.1",A3:T105,4,FALSE()),4),0) - IF(ISNUMBER(VLOOKUP("10.9",A3:T105,4,FALSE())),ROUND(VLOOKUP("10.9",A3:T105,4,FALSE()),4),0) + IF(ISNUMBER(VLOOKUP("2.1.2",A3:T105,4,FALSE())),ROUND(VLOOKUP("2.1.2",A3:T105,4,FALSE()),4),0) - IF(ISNUMBER(VLOOKUP("2.1.2.1",A3:T105,4,FALSE())),ROUND(VLOOKUP("2.1.2.1",A3:T105,4,FALSE()),4),0) + IF(ISNUMBER(VLOOKUP("2.1.3",A3:T105,4,FALSE())),ROUND(VLOOKUP("2.1.3",A3:T105,4,FALSE()),4),0) - (IF(ISNUMBER(VLOOKUP("2.1.3.1",A3:T105,4,FALSE())),ROUND(VLOOKUP("2.1.3.1",A3:T105,4,FALSE()),4),0) + IF(ISNUMBER(VLOOKUP("2.1.3.2",A3:T105,4,FALSE())),ROUND(VLOOKUP("2.1.3.2",A3:T105,4,FALSE()),4),0) + IF(ISNA(VLOOKUP("2.1.3.3",A3:T105,4,FALSE())),0,ROUND(VLOOKUP("2.1.3.3",A3:T105,4,FALSE()),4))) + IF(ISNUMBER(VLOOKUP("10.4",A3:T105,4,FALSE())),ROUND(VLOOKUP("10.4",A3:T105,4,FALSE()),4),0)) / (IF(ISNUMBER(VLOOKUP("1.1",A3:T105,4,FALSE())),ROUND(VLOOKUP("1.1",A3:T105,4,FALSE()),4),0) - IF(ISNUMBER(VLOOKUP("1.1.4",A3:T105,4,FALSE())),ROUND(VLOOKUP("1.1.4",A3:T105,4,FALSE()),4),0) - IF(ISNA(VLOOKUP("11.1.1",A3:T105,4,FALSE())),0,ROUND(VLOOKUP("11.1.1",A3:T105,4,FALSE()),4)))</f>
        <v>0.0834837768103226</v>
      </c>
      <c r="E62" s="17" t="n">
        <f aca="false">(IF(ISNUMBER(VLOOKUP("5.1",A3:T105,5,FALSE())),ROUND(VLOOKUP("5.1",A3:T105,5,FALSE()),4),0) - IF(ISNUMBER(VLOOKUP("5.1.1",A3:T105,5,FALSE())),ROUND(VLOOKUP("5.1.1",A3:T105,5,FALSE()),4),0) + IF(ISNUMBER(VLOOKUP("10.7.2.1",A3:T105,5,FALSE())),ROUND(VLOOKUP("10.7.2.1",A3:T105,5,FALSE()),4),0) - IF(ISNUMBER(VLOOKUP("10.9",A3:T105,5,FALSE())),ROUND(VLOOKUP("10.9",A3:T105,5,FALSE()),4),0) + IF(ISNUMBER(VLOOKUP("2.1.2",A3:T105,5,FALSE())),ROUND(VLOOKUP("2.1.2",A3:T105,5,FALSE()),4),0) - IF(ISNUMBER(VLOOKUP("2.1.2.1",A3:T105,5,FALSE())),ROUND(VLOOKUP("2.1.2.1",A3:T105,5,FALSE()),4),0) + IF(ISNUMBER(VLOOKUP("2.1.3",A3:T105,5,FALSE())),ROUND(VLOOKUP("2.1.3",A3:T105,5,FALSE()),4),0) - (IF(ISNUMBER(VLOOKUP("2.1.3.1",A3:T105,5,FALSE())),ROUND(VLOOKUP("2.1.3.1",A3:T105,5,FALSE()),4),0) + IF(ISNUMBER(VLOOKUP("2.1.3.2",A3:T105,5,FALSE())),ROUND(VLOOKUP("2.1.3.2",A3:T105,5,FALSE()),4),0) + IF(ISNA(VLOOKUP("2.1.3.3",A3:T105,5,FALSE())),0,ROUND(VLOOKUP("2.1.3.3",A3:T105,5,FALSE()),4))) + IF(ISNUMBER(VLOOKUP("10.4",A3:T105,5,FALSE())),ROUND(VLOOKUP("10.4",A3:T105,5,FALSE()),4),0)) / (IF(ISNUMBER(VLOOKUP("1.1",A3:T105,5,FALSE())),ROUND(VLOOKUP("1.1",A3:T105,5,FALSE()),4),0) - IF(ISNUMBER(VLOOKUP("1.1.4",A3:T105,5,FALSE())),ROUND(VLOOKUP("1.1.4",A3:T105,5,FALSE()),4),0) - IF(ISNA(VLOOKUP("11.1.1",A3:T105,5,FALSE())),0,ROUND(VLOOKUP("11.1.1",A3:T105,5,FALSE()),4)))</f>
        <v>0.0549263074890316</v>
      </c>
      <c r="F62" s="17" t="n">
        <f aca="false">(IF(ISNUMBER(VLOOKUP("5.1",A3:T105,6,FALSE())),ROUND(VLOOKUP("5.1",A3:T105,6,FALSE()),4),0) - IF(ISNUMBER(VLOOKUP("5.1.1",A3:T105,6,FALSE())),ROUND(VLOOKUP("5.1.1",A3:T105,6,FALSE()),4),0) + IF(ISNUMBER(VLOOKUP("10.7.2.1",A3:T105,6,FALSE())),ROUND(VLOOKUP("10.7.2.1",A3:T105,6,FALSE()),4),0) - IF(ISNUMBER(VLOOKUP("10.9",A3:T105,6,FALSE())),ROUND(VLOOKUP("10.9",A3:T105,6,FALSE()),4),0) + IF(ISNUMBER(VLOOKUP("2.1.2",A3:T105,6,FALSE())),ROUND(VLOOKUP("2.1.2",A3:T105,6,FALSE()),4),0) - IF(ISNUMBER(VLOOKUP("2.1.2.1",A3:T105,6,FALSE())),ROUND(VLOOKUP("2.1.2.1",A3:T105,6,FALSE()),4),0) + IF(ISNUMBER(VLOOKUP("2.1.3",A3:T105,6,FALSE())),ROUND(VLOOKUP("2.1.3",A3:T105,6,FALSE()),4),0) - (IF(ISNUMBER(VLOOKUP("2.1.3.1",A3:T105,6,FALSE())),ROUND(VLOOKUP("2.1.3.1",A3:T105,6,FALSE()),4),0) + IF(ISNUMBER(VLOOKUP("2.1.3.2",A3:T105,6,FALSE())),ROUND(VLOOKUP("2.1.3.2",A3:T105,6,FALSE()),4),0) + IF(ISNA(VLOOKUP("2.1.3.3",A3:T105,6,FALSE())),0,ROUND(VLOOKUP("2.1.3.3",A3:T105,6,FALSE()),4))) + IF(ISNUMBER(VLOOKUP("10.4",A3:T105,6,FALSE())),ROUND(VLOOKUP("10.4",A3:T105,6,FALSE()),4),0)) / (IF(ISNUMBER(VLOOKUP("1.1",A3:T105,6,FALSE())),ROUND(VLOOKUP("1.1",A3:T105,6,FALSE()),4),0) - IF(ISNUMBER(VLOOKUP("1.1.4",A3:T105,6,FALSE())),ROUND(VLOOKUP("1.1.4",A3:T105,6,FALSE()),4),0) - IF(ISNA(VLOOKUP("11.1.1",A3:T105,6,FALSE())),0,ROUND(VLOOKUP("11.1.1",A3:T105,6,FALSE()),4)))</f>
        <v>0.0412901330211211</v>
      </c>
      <c r="G62" s="17" t="n">
        <f aca="false">(IF(ISNUMBER(VLOOKUP("5.1",A3:T105,7,FALSE())),ROUND(VLOOKUP("5.1",A3:T105,7,FALSE()),4),0) - IF(ISNUMBER(VLOOKUP("5.1.1",A3:T105,7,FALSE())),ROUND(VLOOKUP("5.1.1",A3:T105,7,FALSE()),4),0) + IF(ISNUMBER(VLOOKUP("10.7.2.1",A3:T105,7,FALSE())),ROUND(VLOOKUP("10.7.2.1",A3:T105,7,FALSE()),4),0) - IF(ISNUMBER(VLOOKUP("10.9",A3:T105,7,FALSE())),ROUND(VLOOKUP("10.9",A3:T105,7,FALSE()),4),0) + IF(ISNUMBER(VLOOKUP("2.1.3",A3:T105,7,FALSE())),ROUND(VLOOKUP("2.1.3",A3:T105,7,FALSE()),4),0) - (IF(ISNUMBER(VLOOKUP("2.1.3.1",A3:T105,7,FALSE())),ROUND(VLOOKUP("2.1.3.1",A3:T105,7,FALSE()),4),0) + IF(ISNUMBER(VLOOKUP("2.1.3.2",A3:T105,7,FALSE())),ROUND(VLOOKUP("2.1.3.2",A3:T105,7,FALSE()),4),0) + IF(ISNA(VLOOKUP("2.1.3.3",A3:T105,7,FALSE())),0,ROUND(VLOOKUP("2.1.3.3",A3:T105,7,FALSE()),4))) + IF(ISNUMBER(VLOOKUP("10.4",A3:T105,7,FALSE())),ROUND(VLOOKUP("10.4",A3:T105,7,FALSE()),4),0)) / (IF(ISNUMBER(VLOOKUP("1.1",A3:T105,7,FALSE())),ROUND(VLOOKUP("1.1",A3:T105,7,FALSE()),4),0) - IF(ISNUMBER(VLOOKUP("1.1.4",A3:T105,7,FALSE())),ROUND(VLOOKUP("1.1.4",A3:T105,7,FALSE()),4),0) - IF(ISNA(VLOOKUP("11.1.1",A3:T105,7,FALSE())),0,ROUND(VLOOKUP("11.1.1",A3:T105,7,FALSE()),4)))</f>
        <v>0.139411143071928</v>
      </c>
      <c r="H62" s="17" t="n">
        <f aca="false">(IF(ISNUMBER(VLOOKUP("5.1",A3:T105,8,FALSE())),ROUND(VLOOKUP("5.1",A3:T105,8,FALSE()),4),0) - IF(ISNUMBER(VLOOKUP("5.1.1",A3:T105,8,FALSE())),ROUND(VLOOKUP("5.1.1",A3:T105,8,FALSE()),4),0) + IF(ISNUMBER(VLOOKUP("10.7.2.1",A3:T105,8,FALSE())),ROUND(VLOOKUP("10.7.2.1",A3:T105,8,FALSE()),4),0) - IF(ISNUMBER(VLOOKUP("10.9",A3:T105,8,FALSE())),ROUND(VLOOKUP("10.9",A3:T105,8,FALSE()),4),0) + IF(ISNUMBER(VLOOKUP("2.1.3",A3:T105,8,FALSE())),ROUND(VLOOKUP("2.1.3",A3:T105,8,FALSE()),4),0) - (IF(ISNUMBER(VLOOKUP("2.1.3.1",A3:T105,8,FALSE())),ROUND(VLOOKUP("2.1.3.1",A3:T105,8,FALSE()),4),0) + IF(ISNUMBER(VLOOKUP("2.1.3.2",A3:T105,8,FALSE())),ROUND(VLOOKUP("2.1.3.2",A3:T105,8,FALSE()),4),0) + IF(ISNA(VLOOKUP("2.1.3.3",A3:T105,8,FALSE())),0,ROUND(VLOOKUP("2.1.3.3",A3:T105,8,FALSE()),4))) + IF(ISNUMBER(VLOOKUP("10.4",A3:T105,8,FALSE())),ROUND(VLOOKUP("10.4",A3:T105,8,FALSE()),4),0)) / (IF(ISNUMBER(VLOOKUP("1.1",A3:T105,8,FALSE())),ROUND(VLOOKUP("1.1",A3:T105,8,FALSE()),4),0) - IF(ISNUMBER(VLOOKUP("1.1.4",A3:T105,8,FALSE())),ROUND(VLOOKUP("1.1.4",A3:T105,8,FALSE()),4),0) - IF(ISNA(VLOOKUP("11.1.1",A3:T105,8,FALSE())),0,ROUND(VLOOKUP("11.1.1",A3:T105,8,FALSE()),4)))</f>
        <v>0.0164542243129606</v>
      </c>
      <c r="I62" s="17" t="n">
        <f aca="false">(IF(ISNUMBER(VLOOKUP("5.1",A3:T105,9,FALSE())),ROUND(VLOOKUP("5.1",A3:T105,9,FALSE()),4),0) - IF(ISNUMBER(VLOOKUP("5.1.1",A3:T105,9,FALSE())),ROUND(VLOOKUP("5.1.1",A3:T105,9,FALSE()),4),0) + IF(ISNUMBER(VLOOKUP("10.7.2.1",A3:T105,9,FALSE())),ROUND(VLOOKUP("10.7.2.1",A3:T105,9,FALSE()),4),0) - IF(ISNUMBER(VLOOKUP("10.9",A3:T105,9,FALSE())),ROUND(VLOOKUP("10.9",A3:T105,9,FALSE()),4),0) + IF(ISNUMBER(VLOOKUP("2.1.3",A3:T105,9,FALSE())),ROUND(VLOOKUP("2.1.3",A3:T105,9,FALSE()),4),0) - (IF(ISNUMBER(VLOOKUP("2.1.3.1",A3:T105,9,FALSE())),ROUND(VLOOKUP("2.1.3.1",A3:T105,9,FALSE()),4),0) + IF(ISNUMBER(VLOOKUP("2.1.3.2",A3:T105,9,FALSE())),ROUND(VLOOKUP("2.1.3.2",A3:T105,9,FALSE()),4),0) + IF(ISNA(VLOOKUP("2.1.3.3",A3:T105,9,FALSE())),0,ROUND(VLOOKUP("2.1.3.3",A3:T105,9,FALSE()),4))) + IF(ISNUMBER(VLOOKUP("10.4",A3:T105,9,FALSE())),ROUND(VLOOKUP("10.4",A3:T105,9,FALSE()),4),0)) / (IF(ISNUMBER(VLOOKUP("1.1",A3:T105,9,FALSE())),ROUND(VLOOKUP("1.1",A3:T105,9,FALSE()),4),0) - IF(ISNUMBER(VLOOKUP("1.1.4",A3:T105,9,FALSE())),ROUND(VLOOKUP("1.1.4",A3:T105,9,FALSE()),4),0) - IF(ISNA(VLOOKUP("11.1.1",A3:T105,9,FALSE())),0,ROUND(VLOOKUP("11.1.1",A3:T105,9,FALSE()),4)))</f>
        <v>0.0158610974013248</v>
      </c>
      <c r="J62" s="17" t="n">
        <f aca="false">(IF(ISNUMBER(VLOOKUP("5.1",A3:T105,10,FALSE())),ROUND(VLOOKUP("5.1",A3:T105,10,FALSE()),4),0) - IF(ISNUMBER(VLOOKUP("5.1.1",A3:T105,10,FALSE())),ROUND(VLOOKUP("5.1.1",A3:T105,10,FALSE()),4),0) + IF(ISNUMBER(VLOOKUP("10.7.2.1",A3:T105,10,FALSE())),ROUND(VLOOKUP("10.7.2.1",A3:T105,10,FALSE()),4),0) - IF(ISNUMBER(VLOOKUP("10.9",A3:T105,10,FALSE())),ROUND(VLOOKUP("10.9",A3:T105,10,FALSE()),4),0) + IF(ISNUMBER(VLOOKUP("2.1.3",A3:T105,10,FALSE())),ROUND(VLOOKUP("2.1.3",A3:T105,10,FALSE()),4),0) - (IF(ISNUMBER(VLOOKUP("2.1.3.1",A3:T105,10,FALSE())),ROUND(VLOOKUP("2.1.3.1",A3:T105,10,FALSE()),4),0) + IF(ISNUMBER(VLOOKUP("2.1.3.2",A3:T105,10,FALSE())),ROUND(VLOOKUP("2.1.3.2",A3:T105,10,FALSE()),4),0) + IF(ISNA(VLOOKUP("2.1.3.3",A3:T105,10,FALSE())),0,ROUND(VLOOKUP("2.1.3.3",A3:T105,10,FALSE()),4))) + IF(ISNUMBER(VLOOKUP("10.4",A3:T105,10,FALSE())),ROUND(VLOOKUP("10.4",A3:T105,10,FALSE()),4),0)) / (IF(ISNUMBER(VLOOKUP("1.1",A3:T105,10,FALSE())),ROUND(VLOOKUP("1.1",A3:T105,10,FALSE()),4),0) - IF(ISNUMBER(VLOOKUP("1.1.4",A3:T105,10,FALSE())),ROUND(VLOOKUP("1.1.4",A3:T105,10,FALSE()),4),0) - IF(ISNA(VLOOKUP("11.1.1",A3:T105,10,FALSE())),0,ROUND(VLOOKUP("11.1.1",A3:T105,10,FALSE()),4)))</f>
        <v>0.0138309419268664</v>
      </c>
      <c r="K62" s="18" t="n">
        <f aca="false">(IF(ISNUMBER(VLOOKUP("5.1",A3:T105,11,FALSE())),ROUND(VLOOKUP("5.1",A3:T105,11,FALSE()),4),0) - IF(ISNUMBER(VLOOKUP("5.1.1",A3:T105,11,FALSE())),ROUND(VLOOKUP("5.1.1",A3:T105,11,FALSE()),4),0) + IF(ISNUMBER(VLOOKUP("10.7.2.1",A3:T105,11,FALSE())),ROUND(VLOOKUP("10.7.2.1",A3:T105,11,FALSE()),4),0) - IF(ISNUMBER(VLOOKUP("10.9",A3:T105,11,FALSE())),ROUND(VLOOKUP("10.9",A3:T105,11,FALSE()),4),0) + IF(ISNUMBER(VLOOKUP("2.1.3",A3:T105,11,FALSE())),ROUND(VLOOKUP("2.1.3",A3:T105,11,FALSE()),4),0) - (IF(ISNUMBER(VLOOKUP("2.1.3.1",A3:T105,11,FALSE())),ROUND(VLOOKUP("2.1.3.1",A3:T105,11,FALSE()),4),0) + IF(ISNUMBER(VLOOKUP("2.1.3.2",A3:T105,11,FALSE())),ROUND(VLOOKUP("2.1.3.2",A3:T105,11,FALSE()),4),0) + IF(ISNA(VLOOKUP("2.1.3.3",A3:T105,11,FALSE())),0,ROUND(VLOOKUP("2.1.3.3",A3:T105,11,FALSE()),4))) + IF(ISNUMBER(VLOOKUP("10.4",A3:T105,11,FALSE())),ROUND(VLOOKUP("10.4",A3:T105,11,FALSE()),4),0)) / (IF(ISNUMBER(VLOOKUP("1.1",A3:T105,11,FALSE())),ROUND(VLOOKUP("1.1",A3:T105,11,FALSE()),4),0) - IF(ISNUMBER(VLOOKUP("1.1.4",A3:T105,11,FALSE())),ROUND(VLOOKUP("1.1.4",A3:T105,11,FALSE()),4),0) - IF(ISNA(VLOOKUP("11.1.1",A3:T105,11,FALSE())),0,ROUND(VLOOKUP("11.1.1",A3:T105,11,FALSE()),4)))</f>
        <v>0.0517163009497878</v>
      </c>
      <c r="L62" s="18" t="n">
        <f aca="false">(IF(ISNUMBER(VLOOKUP("5.1",A3:T105,12,FALSE())),ROUND(VLOOKUP("5.1",A3:T105,12,FALSE()),4),0) - IF(ISNUMBER(VLOOKUP("5.1.1",A3:T105,12,FALSE())),ROUND(VLOOKUP("5.1.1",A3:T105,12,FALSE()),4),0) + IF(ISNUMBER(VLOOKUP("10.7.2.1",A3:T105,12,FALSE())),ROUND(VLOOKUP("10.7.2.1",A3:T105,12,FALSE()),4),0) - IF(ISNUMBER(VLOOKUP("10.9",A3:T105,12,FALSE())),ROUND(VLOOKUP("10.9",A3:T105,12,FALSE()),4),0) + IF(ISNUMBER(VLOOKUP("2.1.3",A3:T105,12,FALSE())),ROUND(VLOOKUP("2.1.3",A3:T105,12,FALSE()),4),0) - (IF(ISNUMBER(VLOOKUP("2.1.3.1",A3:T105,12,FALSE())),ROUND(VLOOKUP("2.1.3.1",A3:T105,12,FALSE()),4),0) + IF(ISNUMBER(VLOOKUP("2.1.3.2",A3:T105,12,FALSE())),ROUND(VLOOKUP("2.1.3.2",A3:T105,12,FALSE()),4),0) + IF(ISNA(VLOOKUP("2.1.3.3",A3:T105,12,FALSE())),0,ROUND(VLOOKUP("2.1.3.3",A3:T105,12,FALSE()),4))) + IF(ISNUMBER(VLOOKUP("10.4",A3:T105,12,FALSE())),ROUND(VLOOKUP("10.4",A3:T105,12,FALSE()),4),0)) / (IF(ISNUMBER(VLOOKUP("1.1",A3:T105,12,FALSE())),ROUND(VLOOKUP("1.1",A3:T105,12,FALSE()),4),0) - IF(ISNUMBER(VLOOKUP("1.1.4",A3:T105,12,FALSE())),ROUND(VLOOKUP("1.1.4",A3:T105,12,FALSE()),4),0) - IF(ISNA(VLOOKUP("11.1.1",A3:T105,12,FALSE())),0,ROUND(VLOOKUP("11.1.1",A3:T105,12,FALSE()),4)))</f>
        <v>0.0464334163553784</v>
      </c>
      <c r="M62" s="18" t="n">
        <f aca="false">(IF(ISNUMBER(VLOOKUP("5.1",A3:T105,13,FALSE())),ROUND(VLOOKUP("5.1",A3:T105,13,FALSE()),4),0) - IF(ISNUMBER(VLOOKUP("5.1.1",A3:T105,13,FALSE())),ROUND(VLOOKUP("5.1.1",A3:T105,13,FALSE()),4),0) + IF(ISNUMBER(VLOOKUP("10.7.2.1",A3:T105,13,FALSE())),ROUND(VLOOKUP("10.7.2.1",A3:T105,13,FALSE()),4),0) - IF(ISNUMBER(VLOOKUP("10.9",A3:T105,13,FALSE())),ROUND(VLOOKUP("10.9",A3:T105,13,FALSE()),4),0) + IF(ISNUMBER(VLOOKUP("2.1.3",A3:T105,13,FALSE())),ROUND(VLOOKUP("2.1.3",A3:T105,13,FALSE()),4),0) - (IF(ISNUMBER(VLOOKUP("2.1.3.1",A3:T105,13,FALSE())),ROUND(VLOOKUP("2.1.3.1",A3:T105,13,FALSE()),4),0) + IF(ISNUMBER(VLOOKUP("2.1.3.2",A3:T105,13,FALSE())),ROUND(VLOOKUP("2.1.3.2",A3:T105,13,FALSE()),4),0) + IF(ISNA(VLOOKUP("2.1.3.3",A3:T105,13,FALSE())),0,ROUND(VLOOKUP("2.1.3.3",A3:T105,13,FALSE()),4))) + IF(ISNUMBER(VLOOKUP("10.4",A3:T105,13,FALSE())),ROUND(VLOOKUP("10.4",A3:T105,13,FALSE()),4),0)) / (IF(ISNUMBER(VLOOKUP("1.1",A3:T105,13,FALSE())),ROUND(VLOOKUP("1.1",A3:T105,13,FALSE()),4),0) - IF(ISNUMBER(VLOOKUP("1.1.4",A3:T105,13,FALSE())),ROUND(VLOOKUP("1.1.4",A3:T105,13,FALSE()),4),0) - IF(ISNA(VLOOKUP("11.1.1",A3:T105,13,FALSE())),0,ROUND(VLOOKUP("11.1.1",A3:T105,13,FALSE()),4)))</f>
        <v>0.0378852501960324</v>
      </c>
      <c r="N62" s="18" t="n">
        <f aca="false">(IF(ISNUMBER(VLOOKUP("5.1",A3:T105,14,FALSE())),ROUND(VLOOKUP("5.1",A3:T105,14,FALSE()),4),0) - IF(ISNUMBER(VLOOKUP("5.1.1",A3:T105,14,FALSE())),ROUND(VLOOKUP("5.1.1",A3:T105,14,FALSE()),4),0) + IF(ISNUMBER(VLOOKUP("10.7.2.1",A3:T105,14,FALSE())),ROUND(VLOOKUP("10.7.2.1",A3:T105,14,FALSE()),4),0) - IF(ISNUMBER(VLOOKUP("10.9",A3:T105,14,FALSE())),ROUND(VLOOKUP("10.9",A3:T105,14,FALSE()),4),0) + IF(ISNUMBER(VLOOKUP("2.1.3",A3:T105,14,FALSE())),ROUND(VLOOKUP("2.1.3",A3:T105,14,FALSE()),4),0) - (IF(ISNUMBER(VLOOKUP("2.1.3.1",A3:T105,14,FALSE())),ROUND(VLOOKUP("2.1.3.1",A3:T105,14,FALSE()),4),0) + IF(ISNUMBER(VLOOKUP("2.1.3.2",A3:T105,14,FALSE())),ROUND(VLOOKUP("2.1.3.2",A3:T105,14,FALSE()),4),0) + IF(ISNA(VLOOKUP("2.1.3.3",A3:T105,14,FALSE())),0,ROUND(VLOOKUP("2.1.3.3",A3:T105,14,FALSE()),4))) + IF(ISNUMBER(VLOOKUP("10.4",A3:T105,14,FALSE())),ROUND(VLOOKUP("10.4",A3:T105,14,FALSE()),4),0)) / (IF(ISNUMBER(VLOOKUP("1.1",A3:T105,14,FALSE())),ROUND(VLOOKUP("1.1",A3:T105,14,FALSE()),4),0) - IF(ISNUMBER(VLOOKUP("1.1.4",A3:T105,14,FALSE())),ROUND(VLOOKUP("1.1.4",A3:T105,14,FALSE()),4),0) - IF(ISNA(VLOOKUP("11.1.1",A3:T105,14,FALSE())),0,ROUND(VLOOKUP("11.1.1",A3:T105,14,FALSE()),4)))</f>
        <v>0.0352520981535994</v>
      </c>
      <c r="O62" s="18" t="n">
        <f aca="false">(IF(ISNUMBER(VLOOKUP("5.1",A3:T105,15,FALSE())),ROUND(VLOOKUP("5.1",A3:T105,15,FALSE()),4),0) - IF(ISNUMBER(VLOOKUP("5.1.1",A3:T105,15,FALSE())),ROUND(VLOOKUP("5.1.1",A3:T105,15,FALSE()),4),0) + IF(ISNUMBER(VLOOKUP("10.7.2.1",A3:T105,15,FALSE())),ROUND(VLOOKUP("10.7.2.1",A3:T105,15,FALSE()),4),0) - IF(ISNUMBER(VLOOKUP("10.9",A3:T105,15,FALSE())),ROUND(VLOOKUP("10.9",A3:T105,15,FALSE()),4),0) + IF(ISNUMBER(VLOOKUP("2.1.2",A3:T105,15,FALSE())),ROUND(VLOOKUP("2.1.2",A3:T105,15,FALSE()),4),0) - IF(ISNUMBER(VLOOKUP("2.1.2.1",A3:T105,15,FALSE())),ROUND(VLOOKUP("2.1.2.1",A3:T105,15,FALSE()),4),0) + IF(ISNUMBER(VLOOKUP("2.1.3",A3:T105,15,FALSE())),ROUND(VLOOKUP("2.1.3",A3:T105,15,FALSE()),4),0) - (IF(ISNUMBER(VLOOKUP("2.1.3.1",A3:T105,15,FALSE())),ROUND(VLOOKUP("2.1.3.1",A3:T105,15,FALSE()),4),0) + IF(ISNUMBER(VLOOKUP("2.1.3.2",A3:T105,15,FALSE())),ROUND(VLOOKUP("2.1.3.2",A3:T105,15,FALSE()),4),0) + IF(ISNA(VLOOKUP("2.1.3.3",A3:T105,15,FALSE())),0,ROUND(VLOOKUP("2.1.3.3",A3:T105,15,FALSE()),4))) + IF(ISNUMBER(VLOOKUP("10.4",A3:T105,15,FALSE())),ROUND(VLOOKUP("10.4",A3:T105,15,FALSE()),4),0)) / (IF(ISNUMBER(VLOOKUP("1.1",A3:T105,15,FALSE())),ROUND(VLOOKUP("1.1",A3:T105,15,FALSE()),4),0) - IF(ISNUMBER(VLOOKUP("1.1.4",A3:T105,15,FALSE())),ROUND(VLOOKUP("1.1.4",A3:T105,15,FALSE()),4),0) - IF(ISNA(VLOOKUP("11.1.1",A3:T105,15,FALSE())),0,ROUND(VLOOKUP("11.1.1",A3:T105,15,FALSE()),4)))</f>
        <v>0.0292725677613396</v>
      </c>
      <c r="P62" s="18" t="n">
        <f aca="false">(IF(ISNUMBER(VLOOKUP("5.1",A3:T105,16,FALSE())),ROUND(VLOOKUP("5.1",A3:T105,16,FALSE()),4),0) - IF(ISNUMBER(VLOOKUP("5.1.1",A3:T105,16,FALSE())),ROUND(VLOOKUP("5.1.1",A3:T105,16,FALSE()),4),0) + IF(ISNUMBER(VLOOKUP("10.7.2.1",A3:T105,16,FALSE())),ROUND(VLOOKUP("10.7.2.1",A3:T105,16,FALSE()),4),0) - IF(ISNUMBER(VLOOKUP("10.9",A3:T105,16,FALSE())),ROUND(VLOOKUP("10.9",A3:T105,16,FALSE()),4),0) + IF(ISNUMBER(VLOOKUP("2.1.2",A3:T105,16,FALSE())),ROUND(VLOOKUP("2.1.2",A3:T105,16,FALSE()),4),0) - IF(ISNUMBER(VLOOKUP("2.1.2.1",A3:T105,16,FALSE())),ROUND(VLOOKUP("2.1.2.1",A3:T105,16,FALSE()),4),0) + IF(ISNUMBER(VLOOKUP("2.1.3",A3:T105,16,FALSE())),ROUND(VLOOKUP("2.1.3",A3:T105,16,FALSE()),4),0) - (IF(ISNUMBER(VLOOKUP("2.1.3.1",A3:T105,16,FALSE())),ROUND(VLOOKUP("2.1.3.1",A3:T105,16,FALSE()),4),0) + IF(ISNUMBER(VLOOKUP("2.1.3.2",A3:T105,16,FALSE())),ROUND(VLOOKUP("2.1.3.2",A3:T105,16,FALSE()),4),0) + IF(ISNA(VLOOKUP("2.1.3.3",A3:T105,16,FALSE())),0,ROUND(VLOOKUP("2.1.3.3",A3:T105,16,FALSE()),4))) + IF(ISNUMBER(VLOOKUP("10.4",A3:T105,16,FALSE())),ROUND(VLOOKUP("10.4",A3:T105,16,FALSE()),4),0)) / (IF(ISNUMBER(VLOOKUP("1.1",A3:T105,16,FALSE())),ROUND(VLOOKUP("1.1",A3:T105,16,FALSE()),4),0) - IF(ISNUMBER(VLOOKUP("1.1.4",A3:T105,16,FALSE())),ROUND(VLOOKUP("1.1.4",A3:T105,16,FALSE()),4),0) - IF(ISNA(VLOOKUP("11.1.1",A3:T105,16,FALSE())),0,ROUND(VLOOKUP("11.1.1",A3:T105,16,FALSE()),4)))</f>
        <v>0.0273014013772406</v>
      </c>
      <c r="Q62" s="18" t="n">
        <f aca="false">(IF(ISNUMBER(VLOOKUP("5.1",A3:T105,17,FALSE())),ROUND(VLOOKUP("5.1",A3:T105,17,FALSE()),4),0) - IF(ISNUMBER(VLOOKUP("5.1.1",A3:T105,17,FALSE())),ROUND(VLOOKUP("5.1.1",A3:T105,17,FALSE()),4),0) + IF(ISNUMBER(VLOOKUP("10.7.2.1",A3:T105,17,FALSE())),ROUND(VLOOKUP("10.7.2.1",A3:T105,17,FALSE()),4),0) - IF(ISNUMBER(VLOOKUP("10.9",A3:T105,17,FALSE())),ROUND(VLOOKUP("10.9",A3:T105,17,FALSE()),4),0) + IF(ISNUMBER(VLOOKUP("2.1.2",A3:T105,17,FALSE())),ROUND(VLOOKUP("2.1.2",A3:T105,17,FALSE()),4),0) - IF(ISNUMBER(VLOOKUP("2.1.2.1",A3:T105,17,FALSE())),ROUND(VLOOKUP("2.1.2.1",A3:T105,17,FALSE()),4),0) + IF(ISNUMBER(VLOOKUP("2.1.3",A3:T105,17,FALSE())),ROUND(VLOOKUP("2.1.3",A3:T105,17,FALSE()),4),0) - (IF(ISNUMBER(VLOOKUP("2.1.3.1",A3:T105,17,FALSE())),ROUND(VLOOKUP("2.1.3.1",A3:T105,17,FALSE()),4),0) + IF(ISNUMBER(VLOOKUP("2.1.3.2",A3:T105,17,FALSE())),ROUND(VLOOKUP("2.1.3.2",A3:T105,17,FALSE()),4),0) + IF(ISNA(VLOOKUP("2.1.3.3",A3:T105,17,FALSE())),0,ROUND(VLOOKUP("2.1.3.3",A3:T105,17,FALSE()),4))) + IF(ISNUMBER(VLOOKUP("10.4",A3:T105,17,FALSE())),ROUND(VLOOKUP("10.4",A3:T105,17,FALSE()),4),0)) / (IF(ISNUMBER(VLOOKUP("1.1",A3:T105,17,FALSE())),ROUND(VLOOKUP("1.1",A3:T105,17,FALSE()),4),0) - IF(ISNUMBER(VLOOKUP("1.1.4",A3:T105,17,FALSE())),ROUND(VLOOKUP("1.1.4",A3:T105,17,FALSE()),4),0) - IF(ISNA(VLOOKUP("11.1.1",A3:T105,17,FALSE())),0,ROUND(VLOOKUP("11.1.1",A3:T105,17,FALSE()),4)))</f>
        <v>0.0254089741632327</v>
      </c>
      <c r="R62" s="18" t="n">
        <f aca="false">(IF(ISNUMBER(VLOOKUP("5.1",A3:T105,18,FALSE())),ROUND(VLOOKUP("5.1",A3:T105,18,FALSE()),4),0) - IF(ISNUMBER(VLOOKUP("5.1.1",A3:T105,18,FALSE())),ROUND(VLOOKUP("5.1.1",A3:T105,18,FALSE()),4),0) + IF(ISNUMBER(VLOOKUP("10.7.2.1",A3:T105,18,FALSE())),ROUND(VLOOKUP("10.7.2.1",A3:T105,18,FALSE()),4),0) - IF(ISNUMBER(VLOOKUP("10.9",A3:T105,18,FALSE())),ROUND(VLOOKUP("10.9",A3:T105,18,FALSE()),4),0) + IF(ISNUMBER(VLOOKUP("2.1.2",A3:T105,18,FALSE())),ROUND(VLOOKUP("2.1.2",A3:T105,18,FALSE()),4),0) - IF(ISNUMBER(VLOOKUP("2.1.2.1",A3:T105,18,FALSE())),ROUND(VLOOKUP("2.1.2.1",A3:T105,18,FALSE()),4),0) + IF(ISNUMBER(VLOOKUP("2.1.3",A3:T105,18,FALSE())),ROUND(VLOOKUP("2.1.3",A3:T105,18,FALSE()),4),0) - (IF(ISNUMBER(VLOOKUP("2.1.3.1",A3:T105,18,FALSE())),ROUND(VLOOKUP("2.1.3.1",A3:T105,18,FALSE()),4),0) + IF(ISNUMBER(VLOOKUP("2.1.3.2",A3:T105,18,FALSE())),ROUND(VLOOKUP("2.1.3.2",A3:T105,18,FALSE()),4),0) + IF(ISNA(VLOOKUP("2.1.3.3",A3:T105,18,FALSE())),0,ROUND(VLOOKUP("2.1.3.3",A3:T105,18,FALSE()),4))) + IF(ISNUMBER(VLOOKUP("10.4",A3:T105,18,FALSE())),ROUND(VLOOKUP("10.4",A3:T105,18,FALSE()),4),0)) / (IF(ISNUMBER(VLOOKUP("1.1",A3:T105,18,FALSE())),ROUND(VLOOKUP("1.1",A3:T105,18,FALSE()),4),0) - IF(ISNUMBER(VLOOKUP("1.1.4",A3:T105,18,FALSE())),ROUND(VLOOKUP("1.1.4",A3:T105,18,FALSE()),4),0) - IF(ISNA(VLOOKUP("11.1.1",A3:T105,18,FALSE())),0,ROUND(VLOOKUP("11.1.1",A3:T105,18,FALSE()),4)))</f>
        <v>0.0235926200009953</v>
      </c>
      <c r="S62" s="18" t="n">
        <f aca="false">(IF(ISNUMBER(VLOOKUP("5.1",A3:T105,19,FALSE())),ROUND(VLOOKUP("5.1",A3:T105,19,FALSE()),4),0) - IF(ISNUMBER(VLOOKUP("5.1.1",A3:T105,19,FALSE())),ROUND(VLOOKUP("5.1.1",A3:T105,19,FALSE()),4),0) + IF(ISNUMBER(VLOOKUP("10.7.2.1",A3:T105,19,FALSE())),ROUND(VLOOKUP("10.7.2.1",A3:T105,19,FALSE()),4),0) - IF(ISNUMBER(VLOOKUP("10.9",A3:T105,19,FALSE())),ROUND(VLOOKUP("10.9",A3:T105,19,FALSE()),4),0) + IF(ISNUMBER(VLOOKUP("2.1.2",A3:T105,19,FALSE())),ROUND(VLOOKUP("2.1.2",A3:T105,19,FALSE()),4),0) - IF(ISNUMBER(VLOOKUP("2.1.2.1",A3:T105,19,FALSE())),ROUND(VLOOKUP("2.1.2.1",A3:T105,19,FALSE()),4),0) + IF(ISNUMBER(VLOOKUP("2.1.3",A3:T105,19,FALSE())),ROUND(VLOOKUP("2.1.3",A3:T105,19,FALSE()),4),0) - (IF(ISNUMBER(VLOOKUP("2.1.3.1",A3:T105,19,FALSE())),ROUND(VLOOKUP("2.1.3.1",A3:T105,19,FALSE()),4),0) + IF(ISNUMBER(VLOOKUP("2.1.3.2",A3:T105,19,FALSE())),ROUND(VLOOKUP("2.1.3.2",A3:T105,19,FALSE()),4),0) + IF(ISNA(VLOOKUP("2.1.3.3",A3:T105,19,FALSE())),0,ROUND(VLOOKUP("2.1.3.3",A3:T105,19,FALSE()),4))) + IF(ISNUMBER(VLOOKUP("10.4",A3:T105,19,FALSE())),ROUND(VLOOKUP("10.4",A3:T105,19,FALSE()),4),0)) / (IF(ISNUMBER(VLOOKUP("1.1",A3:T105,19,FALSE())),ROUND(VLOOKUP("1.1",A3:T105,19,FALSE()),4),0) - IF(ISNUMBER(VLOOKUP("1.1.4",A3:T105,19,FALSE())),ROUND(VLOOKUP("1.1.4",A3:T105,19,FALSE()),4),0) - IF(ISNA(VLOOKUP("11.1.1",A3:T105,19,FALSE())),0,ROUND(VLOOKUP("11.1.1",A3:T105,19,FALSE()),4)))</f>
        <v>0.0218497528317128</v>
      </c>
      <c r="T62" s="18" t="n">
        <f aca="false">(IF(ISNUMBER(VLOOKUP("5.1",A3:T105,20,FALSE())),ROUND(VLOOKUP("5.1",A3:T105,20,FALSE()),4),0) - IF(ISNUMBER(VLOOKUP("5.1.1",A3:T105,20,FALSE())),ROUND(VLOOKUP("5.1.1",A3:T105,20,FALSE()),4),0) + IF(ISNUMBER(VLOOKUP("10.7.2.1",A3:T105,20,FALSE())),ROUND(VLOOKUP("10.7.2.1",A3:T105,20,FALSE()),4),0) - IF(ISNUMBER(VLOOKUP("10.9",A3:T105,20,FALSE())),ROUND(VLOOKUP("10.9",A3:T105,20,FALSE()),4),0) + IF(ISNUMBER(VLOOKUP("2.1.2",A3:T105,20,FALSE())),ROUND(VLOOKUP("2.1.2",A3:T105,20,FALSE()),4),0) - IF(ISNUMBER(VLOOKUP("2.1.2.1",A3:T105,20,FALSE())),ROUND(VLOOKUP("2.1.2.1",A3:T105,20,FALSE()),4),0) + IF(ISNUMBER(VLOOKUP("2.1.3",A3:T105,20,FALSE())),ROUND(VLOOKUP("2.1.3",A3:T105,20,FALSE()),4),0) - (IF(ISNUMBER(VLOOKUP("2.1.3.1",A3:T105,20,FALSE())),ROUND(VLOOKUP("2.1.3.1",A3:T105,20,FALSE()),4),0) + IF(ISNUMBER(VLOOKUP("2.1.3.2",A3:T105,20,FALSE())),ROUND(VLOOKUP("2.1.3.2",A3:T105,20,FALSE()),4),0) + IF(ISNA(VLOOKUP("2.1.3.3",A3:T105,20,FALSE())),0,ROUND(VLOOKUP("2.1.3.3",A3:T105,20,FALSE()),4))) + IF(ISNUMBER(VLOOKUP("10.4",A3:T105,20,FALSE())),ROUND(VLOOKUP("10.4",A3:T105,20,FALSE()),4),0)) / (IF(ISNUMBER(VLOOKUP("1.1",A3:T105,20,FALSE())),ROUND(VLOOKUP("1.1",A3:T105,20,FALSE()),4),0) - IF(ISNUMBER(VLOOKUP("1.1.4",A3:T105,20,FALSE())),ROUND(VLOOKUP("1.1.4",A3:T105,20,FALSE()),4),0) - IF(ISNA(VLOOKUP("11.1.1",A3:T105,20,FALSE())),0,ROUND(VLOOKUP("11.1.1",A3:T105,20,FALSE()),4)))</f>
        <v>0.0201778694038524</v>
      </c>
    </row>
    <row r="63" customFormat="false" ht="39.75" hidden="false" customHeight="true" outlineLevel="0" collapsed="false">
      <c r="A63" s="15" t="s">
        <v>134</v>
      </c>
      <c r="B63" s="16" t="s">
        <v>135</v>
      </c>
      <c r="C63" s="17" t="n">
        <f aca="false">((IF(ISNUMBER(VLOOKUP("1.1",A3:T105,3,FALSE())),ROUND(VLOOKUP("1.1",A3:T105,3,FALSE()),4),0) - IF(ISNUMBER(VLOOKUP("9.1.1",A3:T105,3,FALSE())),ROUND(VLOOKUP("9.1.1",A3:T105,3,FALSE()),4),0) - IF(ISNA(VLOOKUP("11.1.1",A3:T105,3,FALSE())),0,ROUND(VLOOKUP("11.1.1",A3:T105,3,FALSE()),4))) - (IF(ISNUMBER(VLOOKUP("2.1",A3:T105,3,FALSE())),ROUND(VLOOKUP("2.1",A3:T105,3,FALSE()),4),0) - IF(ISNUMBER(VLOOKUP("9.3.1",A3:T105,3,FALSE())),ROUND(VLOOKUP("9.3.1",A3:T105,3,FALSE()),4),0) - IF(ISNUMBER(VLOOKUP("10.7.2.1.1",A3:T105,3,FALSE())),ROUND(VLOOKUP("10.7.2.1.1",A3:T105,3,FALSE()),4),0) - IF(ISNUMBER(VLOOKUP("2.1.3",A3:T105,3,FALSE())),ROUND(VLOOKUP("2.1.3",A3:T105,3,FALSE()),4),0) - IF(ISNA(VLOOKUP("10.11",A3:T105,3,FALSE())),0,ROUND(VLOOKUP("10.11",A3:T105,3,FALSE()),4)))) / (IF(ISNUMBER(VLOOKUP("1.1",A3:T105,3,FALSE())),ROUND(VLOOKUP("1.1",A3:T105,3,FALSE()),4),0) - IF(ISNUMBER(VLOOKUP("1.1.4",A3:T105,3,FALSE())),ROUND(VLOOKUP("1.1.4",A3:T105,3,FALSE()),4),0) - IF(ISNA(VLOOKUP("11.1.1",A3:T105,3,FALSE())),0,ROUND(VLOOKUP("11.1.1",A3:T105,3,FALSE()),4)))</f>
        <v>0.176634994490296</v>
      </c>
      <c r="D63" s="17" t="n">
        <f aca="false">((IF(ISNUMBER(VLOOKUP("1.1",A3:T105,4,FALSE())),ROUND(VLOOKUP("1.1",A3:T105,4,FALSE()),4),0) - IF(ISNUMBER(VLOOKUP("9.1.1",A3:T105,4,FALSE())),ROUND(VLOOKUP("9.1.1",A3:T105,4,FALSE()),4),0) - IF(ISNA(VLOOKUP("11.1.1",A3:T105,4,FALSE())),0,ROUND(VLOOKUP("11.1.1",A3:T105,4,FALSE()),4))) - (IF(ISNUMBER(VLOOKUP("2.1",A3:T105,4,FALSE())),ROUND(VLOOKUP("2.1",A3:T105,4,FALSE()),4),0) - IF(ISNUMBER(VLOOKUP("9.3.1",A3:T105,4,FALSE())),ROUND(VLOOKUP("9.3.1",A3:T105,4,FALSE()),4),0) - IF(ISNUMBER(VLOOKUP("10.7.2.1.1",A3:T105,4,FALSE())),ROUND(VLOOKUP("10.7.2.1.1",A3:T105,4,FALSE()),4),0) - IF(ISNUMBER(VLOOKUP("2.1.3",A3:T105,4,FALSE())),ROUND(VLOOKUP("2.1.3",A3:T105,4,FALSE()),4),0) - IF(ISNA(VLOOKUP("10.11",A3:T105,4,FALSE())),0,ROUND(VLOOKUP("10.11",A3:T105,4,FALSE()),4)))) / (IF(ISNUMBER(VLOOKUP("1.1",A3:T105,4,FALSE())),ROUND(VLOOKUP("1.1",A3:T105,4,FALSE()),4),0) - IF(ISNUMBER(VLOOKUP("1.1.4",A3:T105,4,FALSE())),ROUND(VLOOKUP("1.1.4",A3:T105,4,FALSE()),4),0) - IF(ISNA(VLOOKUP("11.1.1",A3:T105,4,FALSE())),0,ROUND(VLOOKUP("11.1.1",A3:T105,4,FALSE()),4)))</f>
        <v>0.12786983608167</v>
      </c>
      <c r="E63" s="17" t="n">
        <f aca="false">((IF(ISNUMBER(VLOOKUP("1.1",A3:T105,5,FALSE())),ROUND(VLOOKUP("1.1",A3:T105,5,FALSE()),4),0) - IF(ISNUMBER(VLOOKUP("9.1.1",A3:T105,5,FALSE())),ROUND(VLOOKUP("9.1.1",A3:T105,5,FALSE()),4),0) - IF(ISNA(VLOOKUP("11.1.1",A3:T105,5,FALSE())),0,ROUND(VLOOKUP("11.1.1",A3:T105,5,FALSE()),4))) - (IF(ISNUMBER(VLOOKUP("2.1",A3:T105,5,FALSE())),ROUND(VLOOKUP("2.1",A3:T105,5,FALSE()),4),0) - IF(ISNUMBER(VLOOKUP("9.3.1",A3:T105,5,FALSE())),ROUND(VLOOKUP("9.3.1",A3:T105,5,FALSE()),4),0) - IF(ISNUMBER(VLOOKUP("10.7.2.1.1",A3:T105,5,FALSE())),ROUND(VLOOKUP("10.7.2.1.1",A3:T105,5,FALSE()),4),0) - IF(ISNUMBER(VLOOKUP("2.1.3",A3:T105,5,FALSE())),ROUND(VLOOKUP("2.1.3",A3:T105,5,FALSE()),4),0) - IF(ISNA(VLOOKUP("10.11",A3:T105,5,FALSE())),0,ROUND(VLOOKUP("10.11",A3:T105,5,FALSE()),4)))) / (IF(ISNUMBER(VLOOKUP("1.1",A3:T105,5,FALSE())),ROUND(VLOOKUP("1.1",A3:T105,5,FALSE()),4),0) - IF(ISNUMBER(VLOOKUP("1.1.4",A3:T105,5,FALSE())),ROUND(VLOOKUP("1.1.4",A3:T105,5,FALSE()),4),0) - IF(ISNA(VLOOKUP("11.1.1",A3:T105,5,FALSE())),0,ROUND(VLOOKUP("11.1.1",A3:T105,5,FALSE()),4)))</f>
        <v>0.125057445773885</v>
      </c>
      <c r="F63" s="17" t="n">
        <f aca="false">((IF(ISNUMBER(VLOOKUP("1.1",A3:T105,6,FALSE())),ROUND(VLOOKUP("1.1",A3:T105,6,FALSE()),4),0) - IF(ISNUMBER(VLOOKUP("9.1.1",A3:T105,6,FALSE())),ROUND(VLOOKUP("9.1.1",A3:T105,6,FALSE()),4),0) - IF(ISNA(VLOOKUP("11.1.1",A3:T105,6,FALSE())),0,ROUND(VLOOKUP("11.1.1",A3:T105,6,FALSE()),4))) - (IF(ISNUMBER(VLOOKUP("2.1",A3:T105,6,FALSE())),ROUND(VLOOKUP("2.1",A3:T105,6,FALSE()),4),0) - IF(ISNUMBER(VLOOKUP("9.3.1",A3:T105,6,FALSE())),ROUND(VLOOKUP("9.3.1",A3:T105,6,FALSE()),4),0) - IF(ISNUMBER(VLOOKUP("10.7.2.1.1",A3:T105,6,FALSE())),ROUND(VLOOKUP("10.7.2.1.1",A3:T105,6,FALSE()),4),0) - IF(ISNUMBER(VLOOKUP("2.1.3",A3:T105,6,FALSE())),ROUND(VLOOKUP("2.1.3",A3:T105,6,FALSE()),4),0) - IF(ISNA(VLOOKUP("10.11",A3:T105,6,FALSE())),0,ROUND(VLOOKUP("10.11",A3:T105,6,FALSE()),4)))) / (IF(ISNUMBER(VLOOKUP("1.1",A3:T105,6,FALSE())),ROUND(VLOOKUP("1.1",A3:T105,6,FALSE()),4),0) - IF(ISNUMBER(VLOOKUP("1.1.4",A3:T105,6,FALSE())),ROUND(VLOOKUP("1.1.4",A3:T105,6,FALSE()),4),0) - IF(ISNA(VLOOKUP("11.1.1",A3:T105,6,FALSE())),0,ROUND(VLOOKUP("11.1.1",A3:T105,6,FALSE()),4)))</f>
        <v>0.226252906574242</v>
      </c>
      <c r="G63" s="17" t="n">
        <f aca="false">((IF(ISNUMBER(VLOOKUP("1.1",A3:T105,7,FALSE())),ROUND(VLOOKUP("1.1",A3:T105,7,FALSE()),4),0) - IF(ISNUMBER(VLOOKUP("9.1.1",A3:T105,7,FALSE())),ROUND(VLOOKUP("9.1.1",A3:T105,7,FALSE()),4),0) - IF(ISNA(VLOOKUP("11.1.1",A3:T105,7,FALSE())),0,ROUND(VLOOKUP("11.1.1",A3:T105,7,FALSE()),4))) - (IF(ISNUMBER(VLOOKUP("2.1",A3:T105,7,FALSE())),ROUND(VLOOKUP("2.1",A3:T105,7,FALSE()),4),0) - IF(ISNUMBER(VLOOKUP("9.3.1",A3:T105,7,FALSE())),ROUND(VLOOKUP("9.3.1",A3:T105,7,FALSE()),4),0) - IF(ISNUMBER(VLOOKUP("10.7.2.1.1",A3:T105,7,FALSE())),ROUND(VLOOKUP("10.7.2.1.1",A3:T105,7,FALSE()),4),0) - IF(ISNUMBER(VLOOKUP("2.1.3",A3:T105,7,FALSE())),ROUND(VLOOKUP("2.1.3",A3:T105,7,FALSE()),4),0) - IF(ISNA(VLOOKUP("10.11",A3:T105,7,FALSE())),0,ROUND(VLOOKUP("10.11",A3:T105,7,FALSE()),4)))) / (IF(ISNUMBER(VLOOKUP("1.1",A3:T105,7,FALSE())),ROUND(VLOOKUP("1.1",A3:T105,7,FALSE()),4),0) - IF(ISNUMBER(VLOOKUP("1.1.4",A3:T105,7,FALSE())),ROUND(VLOOKUP("1.1.4",A3:T105,7,FALSE()),4),0) - IF(ISNA(VLOOKUP("11.1.1",A3:T105,7,FALSE())),0,ROUND(VLOOKUP("11.1.1",A3:T105,7,FALSE()),4)))</f>
        <v>0.160908488367657</v>
      </c>
      <c r="H63" s="17" t="n">
        <f aca="false">((IF(ISNUMBER(VLOOKUP("1.1",A3:T105,8,FALSE())),ROUND(VLOOKUP("1.1",A3:T105,8,FALSE()),4),0) - IF(ISNUMBER(VLOOKUP("9.1.1",A3:T105,8,FALSE())),ROUND(VLOOKUP("9.1.1",A3:T105,8,FALSE()),4),0) - IF(ISNA(VLOOKUP("11.1.1",A3:T105,8,FALSE())),0,ROUND(VLOOKUP("11.1.1",A3:T105,8,FALSE()),4))) - (IF(ISNUMBER(VLOOKUP("2.1",A3:T105,8,FALSE())),ROUND(VLOOKUP("2.1",A3:T105,8,FALSE()),4),0) - IF(ISNUMBER(VLOOKUP("9.3.1",A3:T105,8,FALSE())),ROUND(VLOOKUP("9.3.1",A3:T105,8,FALSE()),4),0) - IF(ISNUMBER(VLOOKUP("10.7.2.1.1",A3:T105,8,FALSE())),ROUND(VLOOKUP("10.7.2.1.1",A3:T105,8,FALSE()),4),0) - IF(ISNUMBER(VLOOKUP("2.1.3",A3:T105,8,FALSE())),ROUND(VLOOKUP("2.1.3",A3:T105,8,FALSE()),4),0) - IF(ISNA(VLOOKUP("10.11",A3:T105,8,FALSE())),0,ROUND(VLOOKUP("10.11",A3:T105,8,FALSE()),4)))) / (IF(ISNUMBER(VLOOKUP("1.1",A3:T105,8,FALSE())),ROUND(VLOOKUP("1.1",A3:T105,8,FALSE()),4),0) - IF(ISNUMBER(VLOOKUP("1.1.4",A3:T105,8,FALSE())),ROUND(VLOOKUP("1.1.4",A3:T105,8,FALSE()),4),0) - IF(ISNA(VLOOKUP("11.1.1",A3:T105,8,FALSE())),0,ROUND(VLOOKUP("11.1.1",A3:T105,8,FALSE()),4)))</f>
        <v>0.103617128397682</v>
      </c>
      <c r="I63" s="17" t="n">
        <f aca="false">((IF(ISNUMBER(VLOOKUP("1.1",A3:T105,9,FALSE())),ROUND(VLOOKUP("1.1",A3:T105,9,FALSE()),4),0) - IF(ISNUMBER(VLOOKUP("9.1.1",A3:T105,9,FALSE())),ROUND(VLOOKUP("9.1.1",A3:T105,9,FALSE()),4),0) - IF(ISNA(VLOOKUP("11.1.1",A3:T105,9,FALSE())),0,ROUND(VLOOKUP("11.1.1",A3:T105,9,FALSE()),4))) - (IF(ISNUMBER(VLOOKUP("2.1",A3:T105,9,FALSE())),ROUND(VLOOKUP("2.1",A3:T105,9,FALSE()),4),0) - IF(ISNUMBER(VLOOKUP("9.3.1",A3:T105,9,FALSE())),ROUND(VLOOKUP("9.3.1",A3:T105,9,FALSE()),4),0) - IF(ISNUMBER(VLOOKUP("10.7.2.1.1",A3:T105,9,FALSE())),ROUND(VLOOKUP("10.7.2.1.1",A3:T105,9,FALSE()),4),0) - IF(ISNUMBER(VLOOKUP("2.1.3",A3:T105,9,FALSE())),ROUND(VLOOKUP("2.1.3",A3:T105,9,FALSE()),4),0) - IF(ISNA(VLOOKUP("10.11",A3:T105,9,FALSE())),0,ROUND(VLOOKUP("10.11",A3:T105,9,FALSE()),4)))) / (IF(ISNUMBER(VLOOKUP("1.1",A3:T105,9,FALSE())),ROUND(VLOOKUP("1.1",A3:T105,9,FALSE()),4),0) - IF(ISNUMBER(VLOOKUP("1.1.4",A3:T105,9,FALSE())),ROUND(VLOOKUP("1.1.4",A3:T105,9,FALSE()),4),0) - IF(ISNA(VLOOKUP("11.1.1",A3:T105,9,FALSE())),0,ROUND(VLOOKUP("11.1.1",A3:T105,9,FALSE()),4)))</f>
        <v>0.0265581862940185</v>
      </c>
      <c r="J63" s="17" t="n">
        <f aca="false">((IF(ISNUMBER(VLOOKUP("1.1",A3:T105,10,FALSE())),ROUND(VLOOKUP("1.1",A3:T105,10,FALSE()),4),0) - IF(ISNUMBER(VLOOKUP("9.1.1",A3:T105,10,FALSE())),ROUND(VLOOKUP("9.1.1",A3:T105,10,FALSE()),4),0) - IF(ISNA(VLOOKUP("11.1.1",A3:T105,10,FALSE())),0,ROUND(VLOOKUP("11.1.1",A3:T105,10,FALSE()),4))) - (IF(ISNUMBER(VLOOKUP("2.1",A3:T105,10,FALSE())),ROUND(VLOOKUP("2.1",A3:T105,10,FALSE()),4),0) - IF(ISNUMBER(VLOOKUP("9.3.1",A3:T105,10,FALSE())),ROUND(VLOOKUP("9.3.1",A3:T105,10,FALSE()),4),0) - IF(ISNUMBER(VLOOKUP("10.7.2.1.1",A3:T105,10,FALSE())),ROUND(VLOOKUP("10.7.2.1.1",A3:T105,10,FALSE()),4),0) - IF(ISNUMBER(VLOOKUP("2.1.3",A3:T105,10,FALSE())),ROUND(VLOOKUP("2.1.3",A3:T105,10,FALSE()),4),0) - IF(ISNA(VLOOKUP("10.11",A3:T105,10,FALSE())),0,ROUND(VLOOKUP("10.11",A3:T105,10,FALSE()),4)))) / (IF(ISNUMBER(VLOOKUP("1.1",A3:T105,10,FALSE())),ROUND(VLOOKUP("1.1",A3:T105,10,FALSE()),4),0) - IF(ISNUMBER(VLOOKUP("1.1.4",A3:T105,10,FALSE())),ROUND(VLOOKUP("1.1.4",A3:T105,10,FALSE()),4),0) - IF(ISNA(VLOOKUP("11.1.1",A3:T105,10,FALSE())),0,ROUND(VLOOKUP("11.1.1",A3:T105,10,FALSE()),4)))</f>
        <v>0.104043588067853</v>
      </c>
      <c r="K63" s="18" t="n">
        <f aca="false">((IF(ISNUMBER(VLOOKUP("1.1",A3:T105,11,FALSE())),ROUND(VLOOKUP("1.1",A3:T105,11,FALSE()),4),0) - IF(ISNUMBER(VLOOKUP("9.1.1",A3:T105,11,FALSE())),ROUND(VLOOKUP("9.1.1",A3:T105,11,FALSE()),4),0) - IF(ISNA(VLOOKUP("11.1.1",A3:T105,11,FALSE())),0,ROUND(VLOOKUP("11.1.1",A3:T105,11,FALSE()),4))) - (IF(ISNUMBER(VLOOKUP("2.1",A3:T105,11,FALSE())),ROUND(VLOOKUP("2.1",A3:T105,11,FALSE()),4),0) - IF(ISNUMBER(VLOOKUP("9.3.1",A3:T105,11,FALSE())),ROUND(VLOOKUP("9.3.1",A3:T105,11,FALSE()),4),0) - IF(ISNUMBER(VLOOKUP("10.7.2.1.1",A3:T105,11,FALSE())),ROUND(VLOOKUP("10.7.2.1.1",A3:T105,11,FALSE()),4),0) - IF(ISNUMBER(VLOOKUP("2.1.3",A3:T105,11,FALSE())),ROUND(VLOOKUP("2.1.3",A3:T105,11,FALSE()),4),0) - IF(ISNA(VLOOKUP("10.11",A3:T105,11,FALSE())),0,ROUND(VLOOKUP("10.11",A3:T105,11,FALSE()),4)))) / (IF(ISNUMBER(VLOOKUP("1.1",A3:T105,11,FALSE())),ROUND(VLOOKUP("1.1",A3:T105,11,FALSE()),4),0) - IF(ISNUMBER(VLOOKUP("1.1.4",A3:T105,11,FALSE())),ROUND(VLOOKUP("1.1.4",A3:T105,11,FALSE()),4),0) - IF(ISNA(VLOOKUP("11.1.1",A3:T105,11,FALSE())),0,ROUND(VLOOKUP("11.1.1",A3:T105,11,FALSE()),4)))</f>
        <v>0.0325432104232463</v>
      </c>
      <c r="L63" s="18" t="n">
        <f aca="false">((IF(ISNUMBER(VLOOKUP("1.1",A3:T105,12,FALSE())),ROUND(VLOOKUP("1.1",A3:T105,12,FALSE()),4),0) - IF(ISNUMBER(VLOOKUP("9.1.1",A3:T105,12,FALSE())),ROUND(VLOOKUP("9.1.1",A3:T105,12,FALSE()),4),0) - IF(ISNA(VLOOKUP("11.1.1",A3:T105,12,FALSE())),0,ROUND(VLOOKUP("11.1.1",A3:T105,12,FALSE()),4))) - (IF(ISNUMBER(VLOOKUP("2.1",A3:T105,12,FALSE())),ROUND(VLOOKUP("2.1",A3:T105,12,FALSE()),4),0) - IF(ISNUMBER(VLOOKUP("9.3.1",A3:T105,12,FALSE())),ROUND(VLOOKUP("9.3.1",A3:T105,12,FALSE()),4),0) - IF(ISNUMBER(VLOOKUP("10.7.2.1.1",A3:T105,12,FALSE())),ROUND(VLOOKUP("10.7.2.1.1",A3:T105,12,FALSE()),4),0) - IF(ISNUMBER(VLOOKUP("2.1.3",A3:T105,12,FALSE())),ROUND(VLOOKUP("2.1.3",A3:T105,12,FALSE()),4),0) - IF(ISNA(VLOOKUP("10.11",A3:T105,12,FALSE())),0,ROUND(VLOOKUP("10.11",A3:T105,12,FALSE()),4)))) / (IF(ISNUMBER(VLOOKUP("1.1",A3:T105,12,FALSE())),ROUND(VLOOKUP("1.1",A3:T105,12,FALSE()),4),0) - IF(ISNUMBER(VLOOKUP("1.1.4",A3:T105,12,FALSE())),ROUND(VLOOKUP("1.1.4",A3:T105,12,FALSE()),4),0) - IF(ISNA(VLOOKUP("11.1.1",A3:T105,12,FALSE())),0,ROUND(VLOOKUP("11.1.1",A3:T105,12,FALSE()),4)))</f>
        <v>0.0429642347491091</v>
      </c>
      <c r="M63" s="18" t="n">
        <f aca="false">((IF(ISNUMBER(VLOOKUP("1.1",A3:T105,13,FALSE())),ROUND(VLOOKUP("1.1",A3:T105,13,FALSE()),4),0) - IF(ISNUMBER(VLOOKUP("9.1.1",A3:T105,13,FALSE())),ROUND(VLOOKUP("9.1.1",A3:T105,13,FALSE()),4),0) - IF(ISNA(VLOOKUP("11.1.1",A3:T105,13,FALSE())),0,ROUND(VLOOKUP("11.1.1",A3:T105,13,FALSE()),4))) - (IF(ISNUMBER(VLOOKUP("2.1",A3:T105,13,FALSE())),ROUND(VLOOKUP("2.1",A3:T105,13,FALSE()),4),0) - IF(ISNUMBER(VLOOKUP("9.3.1",A3:T105,13,FALSE())),ROUND(VLOOKUP("9.3.1",A3:T105,13,FALSE()),4),0) - IF(ISNUMBER(VLOOKUP("10.7.2.1.1",A3:T105,13,FALSE())),ROUND(VLOOKUP("10.7.2.1.1",A3:T105,13,FALSE()),4),0) - IF(ISNUMBER(VLOOKUP("2.1.3",A3:T105,13,FALSE())),ROUND(VLOOKUP("2.1.3",A3:T105,13,FALSE()),4),0) - IF(ISNA(VLOOKUP("10.11",A3:T105,13,FALSE())),0,ROUND(VLOOKUP("10.11",A3:T105,13,FALSE()),4)))) / (IF(ISNUMBER(VLOOKUP("1.1",A3:T105,13,FALSE())),ROUND(VLOOKUP("1.1",A3:T105,13,FALSE()),4),0) - IF(ISNUMBER(VLOOKUP("1.1.4",A3:T105,13,FALSE())),ROUND(VLOOKUP("1.1.4",A3:T105,13,FALSE()),4),0) - IF(ISNA(VLOOKUP("11.1.1",A3:T105,13,FALSE())),0,ROUND(VLOOKUP("11.1.1",A3:T105,13,FALSE()),4)))</f>
        <v>0.038520172345021</v>
      </c>
      <c r="N63" s="18" t="n">
        <f aca="false">((IF(ISNUMBER(VLOOKUP("1.1",A3:T105,14,FALSE())),ROUND(VLOOKUP("1.1",A3:T105,14,FALSE()),4),0) - IF(ISNUMBER(VLOOKUP("9.1.1",A3:T105,14,FALSE())),ROUND(VLOOKUP("9.1.1",A3:T105,14,FALSE()),4),0) - IF(ISNA(VLOOKUP("11.1.1",A3:T105,14,FALSE())),0,ROUND(VLOOKUP("11.1.1",A3:T105,14,FALSE()),4))) - (IF(ISNUMBER(VLOOKUP("2.1",A3:T105,14,FALSE())),ROUND(VLOOKUP("2.1",A3:T105,14,FALSE()),4),0) - IF(ISNUMBER(VLOOKUP("9.3.1",A3:T105,14,FALSE())),ROUND(VLOOKUP("9.3.1",A3:T105,14,FALSE()),4),0) - IF(ISNUMBER(VLOOKUP("10.7.2.1.1",A3:T105,14,FALSE())),ROUND(VLOOKUP("10.7.2.1.1",A3:T105,14,FALSE()),4),0) - IF(ISNUMBER(VLOOKUP("2.1.3",A3:T105,14,FALSE())),ROUND(VLOOKUP("2.1.3",A3:T105,14,FALSE()),4),0) - IF(ISNA(VLOOKUP("10.11",A3:T105,14,FALSE())),0,ROUND(VLOOKUP("10.11",A3:T105,14,FALSE()),4)))) / (IF(ISNUMBER(VLOOKUP("1.1",A3:T105,14,FALSE())),ROUND(VLOOKUP("1.1",A3:T105,14,FALSE()),4),0) - IF(ISNUMBER(VLOOKUP("1.1.4",A3:T105,14,FALSE())),ROUND(VLOOKUP("1.1.4",A3:T105,14,FALSE()),4),0) - IF(ISNA(VLOOKUP("11.1.1",A3:T105,14,FALSE())),0,ROUND(VLOOKUP("11.1.1",A3:T105,14,FALSE()),4)))</f>
        <v>0.0342043108449698</v>
      </c>
      <c r="O63" s="18" t="n">
        <f aca="false">((IF(ISNUMBER(VLOOKUP("1.1",A3:T105,15,FALSE())),ROUND(VLOOKUP("1.1",A3:T105,15,FALSE()),4),0) - IF(ISNUMBER(VLOOKUP("9.1.1",A3:T105,15,FALSE())),ROUND(VLOOKUP("9.1.1",A3:T105,15,FALSE()),4),0) - IF(ISNA(VLOOKUP("11.1.1",A3:T105,15,FALSE())),0,ROUND(VLOOKUP("11.1.1",A3:T105,15,FALSE()),4))) - (IF(ISNUMBER(VLOOKUP("2.1",A3:T105,15,FALSE())),ROUND(VLOOKUP("2.1",A3:T105,15,FALSE()),4),0) - IF(ISNUMBER(VLOOKUP("9.3.1",A3:T105,15,FALSE())),ROUND(VLOOKUP("9.3.1",A3:T105,15,FALSE()),4),0) - IF(ISNUMBER(VLOOKUP("10.7.2.1.1",A3:T105,15,FALSE())),ROUND(VLOOKUP("10.7.2.1.1",A3:T105,15,FALSE()),4),0) - IF(ISNUMBER(VLOOKUP("2.1.3",A3:T105,15,FALSE())),ROUND(VLOOKUP("2.1.3",A3:T105,15,FALSE()),4),0) - IF(ISNA(VLOOKUP("10.11",A3:T105,15,FALSE())),0,ROUND(VLOOKUP("10.11",A3:T105,15,FALSE()),4)))) / (IF(ISNUMBER(VLOOKUP("1.1",A3:T105,15,FALSE())),ROUND(VLOOKUP("1.1",A3:T105,15,FALSE()),4),0) - IF(ISNUMBER(VLOOKUP("1.1.4",A3:T105,15,FALSE())),ROUND(VLOOKUP("1.1.4",A3:T105,15,FALSE()),4),0) - IF(ISNA(VLOOKUP("11.1.1",A3:T105,15,FALSE())),0,ROUND(VLOOKUP("11.1.1",A3:T105,15,FALSE()),4)))</f>
        <v>0.0340193975253103</v>
      </c>
      <c r="P63" s="18" t="n">
        <f aca="false">((IF(ISNUMBER(VLOOKUP("1.1",A3:T105,16,FALSE())),ROUND(VLOOKUP("1.1",A3:T105,16,FALSE()),4),0) - IF(ISNUMBER(VLOOKUP("9.1.1",A3:T105,16,FALSE())),ROUND(VLOOKUP("9.1.1",A3:T105,16,FALSE()),4),0) - IF(ISNA(VLOOKUP("11.1.1",A3:T105,16,FALSE())),0,ROUND(VLOOKUP("11.1.1",A3:T105,16,FALSE()),4))) - (IF(ISNUMBER(VLOOKUP("2.1",A3:T105,16,FALSE())),ROUND(VLOOKUP("2.1",A3:T105,16,FALSE()),4),0) - IF(ISNUMBER(VLOOKUP("9.3.1",A3:T105,16,FALSE())),ROUND(VLOOKUP("9.3.1",A3:T105,16,FALSE()),4),0) - IF(ISNUMBER(VLOOKUP("10.7.2.1.1",A3:T105,16,FALSE())),ROUND(VLOOKUP("10.7.2.1.1",A3:T105,16,FALSE()),4),0) - IF(ISNUMBER(VLOOKUP("2.1.3",A3:T105,16,FALSE())),ROUND(VLOOKUP("2.1.3",A3:T105,16,FALSE()),4),0) - IF(ISNA(VLOOKUP("10.11",A3:T105,16,FALSE())),0,ROUND(VLOOKUP("10.11",A3:T105,16,FALSE()),4)))) / (IF(ISNUMBER(VLOOKUP("1.1",A3:T105,16,FALSE())),ROUND(VLOOKUP("1.1",A3:T105,16,FALSE()),4),0) - IF(ISNUMBER(VLOOKUP("1.1.4",A3:T105,16,FALSE())),ROUND(VLOOKUP("1.1.4",A3:T105,16,FALSE()),4),0) - IF(ISNA(VLOOKUP("11.1.1",A3:T105,16,FALSE())),0,ROUND(VLOOKUP("11.1.1",A3:T105,16,FALSE()),4)))</f>
        <v>0.0322757173858339</v>
      </c>
      <c r="Q63" s="18" t="n">
        <f aca="false">((IF(ISNUMBER(VLOOKUP("1.1",A3:T105,17,FALSE())),ROUND(VLOOKUP("1.1",A3:T105,17,FALSE()),4),0) - IF(ISNUMBER(VLOOKUP("9.1.1",A3:T105,17,FALSE())),ROUND(VLOOKUP("9.1.1",A3:T105,17,FALSE()),4),0) - IF(ISNA(VLOOKUP("11.1.1",A3:T105,17,FALSE())),0,ROUND(VLOOKUP("11.1.1",A3:T105,17,FALSE()),4))) - (IF(ISNUMBER(VLOOKUP("2.1",A3:T105,17,FALSE())),ROUND(VLOOKUP("2.1",A3:T105,17,FALSE()),4),0) - IF(ISNUMBER(VLOOKUP("9.3.1",A3:T105,17,FALSE())),ROUND(VLOOKUP("9.3.1",A3:T105,17,FALSE()),4),0) - IF(ISNUMBER(VLOOKUP("10.7.2.1.1",A3:T105,17,FALSE())),ROUND(VLOOKUP("10.7.2.1.1",A3:T105,17,FALSE()),4),0) - IF(ISNUMBER(VLOOKUP("2.1.3",A3:T105,17,FALSE())),ROUND(VLOOKUP("2.1.3",A3:T105,17,FALSE()),4),0) - IF(ISNA(VLOOKUP("10.11",A3:T105,17,FALSE())),0,ROUND(VLOOKUP("10.11",A3:T105,17,FALSE()),4)))) / (IF(ISNUMBER(VLOOKUP("1.1",A3:T105,17,FALSE())),ROUND(VLOOKUP("1.1",A3:T105,17,FALSE()),4),0) - IF(ISNUMBER(VLOOKUP("1.1.4",A3:T105,17,FALSE())),ROUND(VLOOKUP("1.1.4",A3:T105,17,FALSE()),4),0) - IF(ISNA(VLOOKUP("11.1.1",A3:T105,17,FALSE())),0,ROUND(VLOOKUP("11.1.1",A3:T105,17,FALSE()),4)))</f>
        <v>0.0310839818647247</v>
      </c>
      <c r="R63" s="18" t="n">
        <f aca="false">((IF(ISNUMBER(VLOOKUP("1.1",A3:T105,18,FALSE())),ROUND(VLOOKUP("1.1",A3:T105,18,FALSE()),4),0) - IF(ISNUMBER(VLOOKUP("9.1.1",A3:T105,18,FALSE())),ROUND(VLOOKUP("9.1.1",A3:T105,18,FALSE()),4),0) - IF(ISNA(VLOOKUP("11.1.1",A3:T105,18,FALSE())),0,ROUND(VLOOKUP("11.1.1",A3:T105,18,FALSE()),4))) - (IF(ISNUMBER(VLOOKUP("2.1",A3:T105,18,FALSE())),ROUND(VLOOKUP("2.1",A3:T105,18,FALSE()),4),0) - IF(ISNUMBER(VLOOKUP("9.3.1",A3:T105,18,FALSE())),ROUND(VLOOKUP("9.3.1",A3:T105,18,FALSE()),4),0) - IF(ISNUMBER(VLOOKUP("10.7.2.1.1",A3:T105,18,FALSE())),ROUND(VLOOKUP("10.7.2.1.1",A3:T105,18,FALSE()),4),0) - IF(ISNUMBER(VLOOKUP("2.1.3",A3:T105,18,FALSE())),ROUND(VLOOKUP("2.1.3",A3:T105,18,FALSE()),4),0) - IF(ISNA(VLOOKUP("10.11",A3:T105,18,FALSE())),0,ROUND(VLOOKUP("10.11",A3:T105,18,FALSE()),4)))) / (IF(ISNUMBER(VLOOKUP("1.1",A3:T105,18,FALSE())),ROUND(VLOOKUP("1.1",A3:T105,18,FALSE()),4),0) - IF(ISNUMBER(VLOOKUP("1.1.4",A3:T105,18,FALSE())),ROUND(VLOOKUP("1.1.4",A3:T105,18,FALSE()),4),0) - IF(ISNA(VLOOKUP("11.1.1",A3:T105,18,FALSE())),0,ROUND(VLOOKUP("11.1.1",A3:T105,18,FALSE()),4)))</f>
        <v>0.0306160263471812</v>
      </c>
      <c r="S63" s="18" t="n">
        <f aca="false">((IF(ISNUMBER(VLOOKUP("1.1",A3:T105,19,FALSE())),ROUND(VLOOKUP("1.1",A3:T105,19,FALSE()),4),0) - IF(ISNUMBER(VLOOKUP("9.1.1",A3:T105,19,FALSE())),ROUND(VLOOKUP("9.1.1",A3:T105,19,FALSE()),4),0) - IF(ISNA(VLOOKUP("11.1.1",A3:T105,19,FALSE())),0,ROUND(VLOOKUP("11.1.1",A3:T105,19,FALSE()),4))) - (IF(ISNUMBER(VLOOKUP("2.1",A3:T105,19,FALSE())),ROUND(VLOOKUP("2.1",A3:T105,19,FALSE()),4),0) - IF(ISNUMBER(VLOOKUP("9.3.1",A3:T105,19,FALSE())),ROUND(VLOOKUP("9.3.1",A3:T105,19,FALSE()),4),0) - IF(ISNUMBER(VLOOKUP("10.7.2.1.1",A3:T105,19,FALSE())),ROUND(VLOOKUP("10.7.2.1.1",A3:T105,19,FALSE()),4),0) - IF(ISNUMBER(VLOOKUP("2.1.3",A3:T105,19,FALSE())),ROUND(VLOOKUP("2.1.3",A3:T105,19,FALSE()),4),0) - IF(ISNA(VLOOKUP("10.11",A3:T105,19,FALSE())),0,ROUND(VLOOKUP("10.11",A3:T105,19,FALSE()),4)))) / (IF(ISNUMBER(VLOOKUP("1.1",A3:T105,19,FALSE())),ROUND(VLOOKUP("1.1",A3:T105,19,FALSE()),4),0) - IF(ISNUMBER(VLOOKUP("1.1.4",A3:T105,19,FALSE())),ROUND(VLOOKUP("1.1.4",A3:T105,19,FALSE()),4),0) - IF(ISNA(VLOOKUP("11.1.1",A3:T105,19,FALSE())),0,ROUND(VLOOKUP("11.1.1",A3:T105,19,FALSE()),4)))</f>
        <v>0.0303707861069393</v>
      </c>
      <c r="T63" s="18" t="n">
        <f aca="false">((IF(ISNUMBER(VLOOKUP("1.1",A3:T105,20,FALSE())),ROUND(VLOOKUP("1.1",A3:T105,20,FALSE()),4),0) - IF(ISNUMBER(VLOOKUP("9.1.1",A3:T105,20,FALSE())),ROUND(VLOOKUP("9.1.1",A3:T105,20,FALSE()),4),0) - IF(ISNA(VLOOKUP("11.1.1",A3:T105,20,FALSE())),0,ROUND(VLOOKUP("11.1.1",A3:T105,20,FALSE()),4))) - (IF(ISNUMBER(VLOOKUP("2.1",A3:T105,20,FALSE())),ROUND(VLOOKUP("2.1",A3:T105,20,FALSE()),4),0) - IF(ISNUMBER(VLOOKUP("9.3.1",A3:T105,20,FALSE())),ROUND(VLOOKUP("9.3.1",A3:T105,20,FALSE()),4),0) - IF(ISNUMBER(VLOOKUP("10.7.2.1.1",A3:T105,20,FALSE())),ROUND(VLOOKUP("10.7.2.1.1",A3:T105,20,FALSE()),4),0) - IF(ISNUMBER(VLOOKUP("2.1.3",A3:T105,20,FALSE())),ROUND(VLOOKUP("2.1.3",A3:T105,20,FALSE()),4),0) - IF(ISNA(VLOOKUP("10.11",A3:T105,20,FALSE())),0,ROUND(VLOOKUP("10.11",A3:T105,20,FALSE()),4)))) / (IF(ISNUMBER(VLOOKUP("1.1",A3:T105,20,FALSE())),ROUND(VLOOKUP("1.1",A3:T105,20,FALSE()),4),0) - IF(ISNUMBER(VLOOKUP("1.1.4",A3:T105,20,FALSE())),ROUND(VLOOKUP("1.1.4",A3:T105,20,FALSE()),4),0) - IF(ISNA(VLOOKUP("11.1.1",A3:T105,20,FALSE())),0,ROUND(VLOOKUP("11.1.1",A3:T105,20,FALSE()),4)))</f>
        <v>0.0303486864554773</v>
      </c>
    </row>
    <row r="64" customFormat="false" ht="33.75" hidden="true" customHeight="false" outlineLevel="0" collapsed="false">
      <c r="A64" s="15" t="s">
        <v>136</v>
      </c>
      <c r="B64" s="16" t="s">
        <v>137</v>
      </c>
      <c r="C64" s="17" t="n">
        <f aca="false">((IF(ISNUMBER(VLOOKUP("1.1",A3:T105,3,FALSE())),ROUND(VLOOKUP("1.1",A3:T105,3,FALSE()),4),0) - IF(ISNUMBER(VLOOKUP("9.1.1",A3:T105,3,FALSE())),ROUND(VLOOKUP("9.1.1",A3:T105,3,FALSE()),4),0) - IF(ISNA(VLOOKUP("11.1.1",A3:T105,3,FALSE())),0,ROUND(VLOOKUP("11.1.1",A3:T105,3,FALSE()),4))) + IF(ISNUMBER(VLOOKUP("1.2.1",A3:T105,3,FALSE())),ROUND(VLOOKUP("1.2.1",A3:T105,3,FALSE()),4),0) - (IF(ISNUMBER(VLOOKUP("2.1",A3:T105,3,FALSE())),ROUND(VLOOKUP("2.1",A3:T105,3,FALSE()),4),0) - IF(ISNUMBER(VLOOKUP("9.3.1",A3:T105,3,FALSE())),ROUND(VLOOKUP("9.3.1",A3:T105,3,FALSE()),4),0) - IF(ISNUMBER(VLOOKUP("10.7.2.1.1",A3:T105,3,FALSE())),ROUND(VLOOKUP("10.7.2.1.1",A3:T105,3,FALSE()),4),0) - IF(ISNUMBER(VLOOKUP("2.1.3",A3:T105,3,FALSE())),ROUND(VLOOKUP("2.1.3",A3:T105,3,FALSE()),4),0) - IF(ISNA(VLOOKUP("10.11",A3:T105,3,FALSE())),0,ROUND(VLOOKUP("10.11",A3:T105,3,FALSE()),4)))) / (IF(ISNUMBER(VLOOKUP("1.1",A3:T105,3,FALSE())),ROUND(VLOOKUP("1.1",A3:T105,3,FALSE()),4),0) - IF(ISNUMBER(VLOOKUP("1.1.4",A3:T105,3,FALSE())),ROUND(VLOOKUP("1.1.4",A3:T105,3,FALSE()),4),0) - IF(ISNA(VLOOKUP("11.1.1",A3:T105,3,FALSE())),0,ROUND(VLOOKUP("11.1.1",A3:T105,3,FALSE()),4)))</f>
        <v>0.179874132218022</v>
      </c>
      <c r="D64" s="17" t="n">
        <f aca="false">((IF(ISNUMBER(VLOOKUP("1.1",A3:T105,4,FALSE())),ROUND(VLOOKUP("1.1",A3:T105,4,FALSE()),4),0) - IF(ISNUMBER(VLOOKUP("9.1.1",A3:T105,4,FALSE())),ROUND(VLOOKUP("9.1.1",A3:T105,4,FALSE()),4),0) - IF(ISNA(VLOOKUP("11.1.1",A3:T105,4,FALSE())),0,ROUND(VLOOKUP("11.1.1",A3:T105,4,FALSE()),4))) + IF(ISNUMBER(VLOOKUP("1.2.1",A3:T105,4,FALSE())),ROUND(VLOOKUP("1.2.1",A3:T105,4,FALSE()),4),0) - (IF(ISNUMBER(VLOOKUP("2.1",A3:T105,4,FALSE())),ROUND(VLOOKUP("2.1",A3:T105,4,FALSE()),4),0) - IF(ISNUMBER(VLOOKUP("9.3.1",A3:T105,4,FALSE())),ROUND(VLOOKUP("9.3.1",A3:T105,4,FALSE()),4),0) - IF(ISNUMBER(VLOOKUP("10.7.2.1.1",A3:T105,4,FALSE())),ROUND(VLOOKUP("10.7.2.1.1",A3:T105,4,FALSE()),4),0) - IF(ISNUMBER(VLOOKUP("2.1.3",A3:T105,4,FALSE())),ROUND(VLOOKUP("2.1.3",A3:T105,4,FALSE()),4),0) - IF(ISNA(VLOOKUP("10.11",A3:T105,4,FALSE())),0,ROUND(VLOOKUP("10.11",A3:T105,4,FALSE()),4)))) / (IF(ISNUMBER(VLOOKUP("1.1",A3:T105,4,FALSE())),ROUND(VLOOKUP("1.1",A3:T105,4,FALSE()),4),0) - IF(ISNUMBER(VLOOKUP("1.1.4",A3:T105,4,FALSE())),ROUND(VLOOKUP("1.1.4",A3:T105,4,FALSE()),4),0) - IF(ISNA(VLOOKUP("11.1.1",A3:T105,4,FALSE())),0,ROUND(VLOOKUP("11.1.1",A3:T105,4,FALSE()),4)))</f>
        <v>0.129914283506993</v>
      </c>
      <c r="E64" s="17" t="n">
        <f aca="false">((IF(ISNUMBER(VLOOKUP("1.1",A3:T105,5,FALSE())),ROUND(VLOOKUP("1.1",A3:T105,5,FALSE()),4),0) - IF(ISNUMBER(VLOOKUP("9.1.1",A3:T105,5,FALSE())),ROUND(VLOOKUP("9.1.1",A3:T105,5,FALSE()),4),0) - IF(ISNA(VLOOKUP("11.1.1",A3:T105,5,FALSE())),0,ROUND(VLOOKUP("11.1.1",A3:T105,5,FALSE()),4))) + IF(ISNUMBER(VLOOKUP("1.2.1",A3:T105,5,FALSE())),ROUND(VLOOKUP("1.2.1",A3:T105,5,FALSE()),4),0) - (IF(ISNUMBER(VLOOKUP("2.1",A3:T105,5,FALSE())),ROUND(VLOOKUP("2.1",A3:T105,5,FALSE()),4),0) - IF(ISNUMBER(VLOOKUP("9.3.1",A3:T105,5,FALSE())),ROUND(VLOOKUP("9.3.1",A3:T105,5,FALSE()),4),0) - IF(ISNUMBER(VLOOKUP("10.7.2.1.1",A3:T105,5,FALSE())),ROUND(VLOOKUP("10.7.2.1.1",A3:T105,5,FALSE()),4),0) - IF(ISNUMBER(VLOOKUP("2.1.3",A3:T105,5,FALSE())),ROUND(VLOOKUP("2.1.3",A3:T105,5,FALSE()),4),0) - IF(ISNA(VLOOKUP("10.11",A3:T105,5,FALSE())),0,ROUND(VLOOKUP("10.11",A3:T105,5,FALSE()),4)))) / (IF(ISNUMBER(VLOOKUP("1.1",A3:T105,5,FALSE())),ROUND(VLOOKUP("1.1",A3:T105,5,FALSE()),4),0) - IF(ISNUMBER(VLOOKUP("1.1.4",A3:T105,5,FALSE())),ROUND(VLOOKUP("1.1.4",A3:T105,5,FALSE()),4),0) - IF(ISNA(VLOOKUP("11.1.1",A3:T105,5,FALSE())),0,ROUND(VLOOKUP("11.1.1",A3:T105,5,FALSE()),4)))</f>
        <v>0.180115131526118</v>
      </c>
      <c r="F64" s="17" t="n">
        <f aca="false">((IF(ISNUMBER(VLOOKUP("1.1",A3:T105,6,FALSE())),ROUND(VLOOKUP("1.1",A3:T105,6,FALSE()),4),0) - IF(ISNUMBER(VLOOKUP("9.1.1",A3:T105,6,FALSE())),ROUND(VLOOKUP("9.1.1",A3:T105,6,FALSE()),4),0) - IF(ISNA(VLOOKUP("11.1.1",A3:T105,6,FALSE())),0,ROUND(VLOOKUP("11.1.1",A3:T105,6,FALSE()),4))) + IF(ISNUMBER(VLOOKUP("1.2.1",A3:T105,6,FALSE())),ROUND(VLOOKUP("1.2.1",A3:T105,6,FALSE()),4),0) - (IF(ISNUMBER(VLOOKUP("2.1",A3:T105,6,FALSE())),ROUND(VLOOKUP("2.1",A3:T105,6,FALSE()),4),0) - IF(ISNUMBER(VLOOKUP("9.3.1",A3:T105,6,FALSE())),ROUND(VLOOKUP("9.3.1",A3:T105,6,FALSE()),4),0) - IF(ISNUMBER(VLOOKUP("10.7.2.1.1",A3:T105,6,FALSE())),ROUND(VLOOKUP("10.7.2.1.1",A3:T105,6,FALSE()),4),0) - IF(ISNUMBER(VLOOKUP("2.1.3",A3:T105,6,FALSE())),ROUND(VLOOKUP("2.1.3",A3:T105,6,FALSE()),4),0) - IF(ISNA(VLOOKUP("10.11",A3:T105,6,FALSE())),0,ROUND(VLOOKUP("10.11",A3:T105,6,FALSE()),4)))) / (IF(ISNUMBER(VLOOKUP("1.1",A3:T105,6,FALSE())),ROUND(VLOOKUP("1.1",A3:T105,6,FALSE()),4),0) - IF(ISNUMBER(VLOOKUP("1.1.4",A3:T105,6,FALSE())),ROUND(VLOOKUP("1.1.4",A3:T105,6,FALSE()),4),0) - IF(ISNA(VLOOKUP("11.1.1",A3:T105,6,FALSE())),0,ROUND(VLOOKUP("11.1.1",A3:T105,6,FALSE()),4)))</f>
        <v>0.271521358817874</v>
      </c>
      <c r="G64" s="17" t="n">
        <f aca="false">((IF(ISNUMBER(VLOOKUP("1.1",A3:T105,7,FALSE())),ROUND(VLOOKUP("1.1",A3:T105,7,FALSE()),4),0) - IF(ISNUMBER(VLOOKUP("9.1.1",A3:T105,7,FALSE())),ROUND(VLOOKUP("9.1.1",A3:T105,7,FALSE()),4),0) - IF(ISNA(VLOOKUP("11.1.1",A3:T105,7,FALSE())),0,ROUND(VLOOKUP("11.1.1",A3:T105,7,FALSE()),4))) + IF(ISNUMBER(VLOOKUP("1.2.1",A3:T105,7,FALSE())),ROUND(VLOOKUP("1.2.1",A3:T105,7,FALSE()),4),0) - (IF(ISNUMBER(VLOOKUP("2.1",A3:T105,7,FALSE())),ROUND(VLOOKUP("2.1",A3:T105,7,FALSE()),4),0) - IF(ISNUMBER(VLOOKUP("9.3.1",A3:T105,7,FALSE())),ROUND(VLOOKUP("9.3.1",A3:T105,7,FALSE()),4),0) - IF(ISNUMBER(VLOOKUP("10.7.2.1.1",A3:T105,7,FALSE())),ROUND(VLOOKUP("10.7.2.1.1",A3:T105,7,FALSE()),4),0) - IF(ISNUMBER(VLOOKUP("2.1.3",A3:T105,7,FALSE())),ROUND(VLOOKUP("2.1.3",A3:T105,7,FALSE()),4),0) - IF(ISNA(VLOOKUP("10.11",A3:T105,7,FALSE())),0,ROUND(VLOOKUP("10.11",A3:T105,7,FALSE()),4)))) / (IF(ISNUMBER(VLOOKUP("1.1",A3:T105,7,FALSE())),ROUND(VLOOKUP("1.1",A3:T105,7,FALSE()),4),0) - IF(ISNUMBER(VLOOKUP("1.1.4",A3:T105,7,FALSE())),ROUND(VLOOKUP("1.1.4",A3:T105,7,FALSE()),4),0) - IF(ISNA(VLOOKUP("11.1.1",A3:T105,7,FALSE())),0,ROUND(VLOOKUP("11.1.1",A3:T105,7,FALSE()),4)))</f>
        <v>0.223102836653037</v>
      </c>
      <c r="H64" s="17" t="n">
        <f aca="false">((IF(ISNUMBER(VLOOKUP("1.1",A3:T105,8,FALSE())),ROUND(VLOOKUP("1.1",A3:T105,8,FALSE()),4),0) - IF(ISNUMBER(VLOOKUP("9.1.1",A3:T105,8,FALSE())),ROUND(VLOOKUP("9.1.1",A3:T105,8,FALSE()),4),0) - IF(ISNA(VLOOKUP("11.1.1",A3:T105,8,FALSE())),0,ROUND(VLOOKUP("11.1.1",A3:T105,8,FALSE()),4))) + IF(ISNUMBER(VLOOKUP("1.2.1",A3:T105,8,FALSE())),ROUND(VLOOKUP("1.2.1",A3:T105,8,FALSE()),4),0) - (IF(ISNUMBER(VLOOKUP("2.1",A3:T105,8,FALSE())),ROUND(VLOOKUP("2.1",A3:T105,8,FALSE()),4),0) - IF(ISNUMBER(VLOOKUP("9.3.1",A3:T105,8,FALSE())),ROUND(VLOOKUP("9.3.1",A3:T105,8,FALSE()),4),0) - IF(ISNUMBER(VLOOKUP("10.7.2.1.1",A3:T105,8,FALSE())),ROUND(VLOOKUP("10.7.2.1.1",A3:T105,8,FALSE()),4),0) - IF(ISNUMBER(VLOOKUP("2.1.3",A3:T105,8,FALSE())),ROUND(VLOOKUP("2.1.3",A3:T105,8,FALSE()),4),0) - IF(ISNA(VLOOKUP("10.11",A3:T105,8,FALSE())),0,ROUND(VLOOKUP("10.11",A3:T105,8,FALSE()),4)))) / (IF(ISNUMBER(VLOOKUP("1.1",A3:T105,8,FALSE())),ROUND(VLOOKUP("1.1",A3:T105,8,FALSE()),4),0) - IF(ISNUMBER(VLOOKUP("1.1.4",A3:T105,8,FALSE())),ROUND(VLOOKUP("1.1.4",A3:T105,8,FALSE()),4),0) - IF(ISNA(VLOOKUP("11.1.1",A3:T105,8,FALSE())),0,ROUND(VLOOKUP("11.1.1",A3:T105,8,FALSE()),4)))</f>
        <v>0.117926237232361</v>
      </c>
      <c r="I64" s="17" t="n">
        <f aca="false">((IF(ISNUMBER(VLOOKUP("1.1",A3:T105,9,FALSE())),ROUND(VLOOKUP("1.1",A3:T105,9,FALSE()),4),0) - IF(ISNUMBER(VLOOKUP("9.1.1",A3:T105,9,FALSE())),ROUND(VLOOKUP("9.1.1",A3:T105,9,FALSE()),4),0) - IF(ISNA(VLOOKUP("11.1.1",A3:T105,9,FALSE())),0,ROUND(VLOOKUP("11.1.1",A3:T105,9,FALSE()),4))) + IF(ISNUMBER(VLOOKUP("1.2.1",A3:T105,9,FALSE())),ROUND(VLOOKUP("1.2.1",A3:T105,9,FALSE()),4),0) - (IF(ISNUMBER(VLOOKUP("2.1",A3:T105,9,FALSE())),ROUND(VLOOKUP("2.1",A3:T105,9,FALSE()),4),0) - IF(ISNUMBER(VLOOKUP("9.3.1",A3:T105,9,FALSE())),ROUND(VLOOKUP("9.3.1",A3:T105,9,FALSE()),4),0) - IF(ISNUMBER(VLOOKUP("10.7.2.1.1",A3:T105,9,FALSE())),ROUND(VLOOKUP("10.7.2.1.1",A3:T105,9,FALSE()),4),0) - IF(ISNUMBER(VLOOKUP("2.1.3",A3:T105,9,FALSE())),ROUND(VLOOKUP("2.1.3",A3:T105,9,FALSE()),4),0) - IF(ISNA(VLOOKUP("10.11",A3:T105,9,FALSE())),0,ROUND(VLOOKUP("10.11",A3:T105,9,FALSE()),4)))) / (IF(ISNUMBER(VLOOKUP("1.1",A3:T105,9,FALSE())),ROUND(VLOOKUP("1.1",A3:T105,9,FALSE()),4),0) - IF(ISNUMBER(VLOOKUP("1.1.4",A3:T105,9,FALSE())),ROUND(VLOOKUP("1.1.4",A3:T105,9,FALSE()),4),0) - IF(ISNA(VLOOKUP("11.1.1",A3:T105,9,FALSE())),0,ROUND(VLOOKUP("11.1.1",A3:T105,9,FALSE()),4)))</f>
        <v>0.0417848397992904</v>
      </c>
      <c r="J64" s="17" t="n">
        <f aca="false">((IF(ISNUMBER(VLOOKUP("1.1",A3:T105,10,FALSE())),ROUND(VLOOKUP("1.1",A3:T105,10,FALSE()),4),0) - IF(ISNUMBER(VLOOKUP("9.1.1",A3:T105,10,FALSE())),ROUND(VLOOKUP("9.1.1",A3:T105,10,FALSE()),4),0) - IF(ISNA(VLOOKUP("11.1.1",A3:T105,10,FALSE())),0,ROUND(VLOOKUP("11.1.1",A3:T105,10,FALSE()),4))) + IF(ISNUMBER(VLOOKUP("1.2.1",A3:T105,10,FALSE())),ROUND(VLOOKUP("1.2.1",A3:T105,10,FALSE()),4),0) - (IF(ISNUMBER(VLOOKUP("2.1",A3:T105,10,FALSE())),ROUND(VLOOKUP("2.1",A3:T105,10,FALSE()),4),0) - IF(ISNUMBER(VLOOKUP("9.3.1",A3:T105,10,FALSE())),ROUND(VLOOKUP("9.3.1",A3:T105,10,FALSE()),4),0) - IF(ISNUMBER(VLOOKUP("10.7.2.1.1",A3:T105,10,FALSE())),ROUND(VLOOKUP("10.7.2.1.1",A3:T105,10,FALSE()),4),0) - IF(ISNUMBER(VLOOKUP("2.1.3",A3:T105,10,FALSE())),ROUND(VLOOKUP("2.1.3",A3:T105,10,FALSE()),4),0) - IF(ISNA(VLOOKUP("10.11",A3:T105,10,FALSE())),0,ROUND(VLOOKUP("10.11",A3:T105,10,FALSE()),4)))) / (IF(ISNUMBER(VLOOKUP("1.1",A3:T105,10,FALSE())),ROUND(VLOOKUP("1.1",A3:T105,10,FALSE()),4),0) - IF(ISNUMBER(VLOOKUP("1.1.4",A3:T105,10,FALSE())),ROUND(VLOOKUP("1.1.4",A3:T105,10,FALSE()),4),0) - IF(ISNA(VLOOKUP("11.1.1",A3:T105,10,FALSE())),0,ROUND(VLOOKUP("11.1.1",A3:T105,10,FALSE()),4)))</f>
        <v>0.156298364140864</v>
      </c>
      <c r="K64" s="18" t="n">
        <f aca="false">((IF(ISNUMBER(VLOOKUP("1.1",A3:T105,11,FALSE())),ROUND(VLOOKUP("1.1",A3:T105,11,FALSE()),4),0) - IF(ISNUMBER(VLOOKUP("9.1.1",A3:T105,11,FALSE())),ROUND(VLOOKUP("9.1.1",A3:T105,11,FALSE()),4),0) - IF(ISNA(VLOOKUP("11.1.1",A3:T105,11,FALSE())),0,ROUND(VLOOKUP("11.1.1",A3:T105,11,FALSE()),4))) + IF(ISNUMBER(VLOOKUP("1.2.1",A3:T105,11,FALSE())),ROUND(VLOOKUP("1.2.1",A3:T105,11,FALSE()),4),0) - (IF(ISNUMBER(VLOOKUP("2.1",A3:T105,11,FALSE())),ROUND(VLOOKUP("2.1",A3:T105,11,FALSE()),4),0) - IF(ISNUMBER(VLOOKUP("9.3.1",A3:T105,11,FALSE())),ROUND(VLOOKUP("9.3.1",A3:T105,11,FALSE()),4),0) - IF(ISNUMBER(VLOOKUP("10.7.2.1.1",A3:T105,11,FALSE())),ROUND(VLOOKUP("10.7.2.1.1",A3:T105,11,FALSE()),4),0) - IF(ISNUMBER(VLOOKUP("2.1.3",A3:T105,11,FALSE())),ROUND(VLOOKUP("2.1.3",A3:T105,11,FALSE()),4),0) - IF(ISNA(VLOOKUP("10.11",A3:T105,11,FALSE())),0,ROUND(VLOOKUP("10.11",A3:T105,11,FALSE()),4)))) / (IF(ISNUMBER(VLOOKUP("1.1",A3:T105,11,FALSE())),ROUND(VLOOKUP("1.1",A3:T105,11,FALSE()),4),0) - IF(ISNUMBER(VLOOKUP("1.1.4",A3:T105,11,FALSE())),ROUND(VLOOKUP("1.1.4",A3:T105,11,FALSE()),4),0) - IF(ISNA(VLOOKUP("11.1.1",A3:T105,11,FALSE())),0,ROUND(VLOOKUP("11.1.1",A3:T105,11,FALSE()),4)))</f>
        <v>0.0951922322373408</v>
      </c>
      <c r="L64" s="18" t="n">
        <f aca="false">((IF(ISNUMBER(VLOOKUP("1.1",A3:T105,12,FALSE())),ROUND(VLOOKUP("1.1",A3:T105,12,FALSE()),4),0) - IF(ISNUMBER(VLOOKUP("9.1.1",A3:T105,12,FALSE())),ROUND(VLOOKUP("9.1.1",A3:T105,12,FALSE()),4),0) - IF(ISNA(VLOOKUP("11.1.1",A3:T105,12,FALSE())),0,ROUND(VLOOKUP("11.1.1",A3:T105,12,FALSE()),4))) + IF(ISNUMBER(VLOOKUP("1.2.1",A3:T105,12,FALSE())),ROUND(VLOOKUP("1.2.1",A3:T105,12,FALSE()),4),0) - (IF(ISNUMBER(VLOOKUP("2.1",A3:T105,12,FALSE())),ROUND(VLOOKUP("2.1",A3:T105,12,FALSE()),4),0) - IF(ISNUMBER(VLOOKUP("9.3.1",A3:T105,12,FALSE())),ROUND(VLOOKUP("9.3.1",A3:T105,12,FALSE()),4),0) - IF(ISNUMBER(VLOOKUP("10.7.2.1.1",A3:T105,12,FALSE())),ROUND(VLOOKUP("10.7.2.1.1",A3:T105,12,FALSE()),4),0) - IF(ISNUMBER(VLOOKUP("2.1.3",A3:T105,12,FALSE())),ROUND(VLOOKUP("2.1.3",A3:T105,12,FALSE()),4),0) - IF(ISNA(VLOOKUP("10.11",A3:T105,12,FALSE())),0,ROUND(VLOOKUP("10.11",A3:T105,12,FALSE()),4)))) / (IF(ISNUMBER(VLOOKUP("1.1",A3:T105,12,FALSE())),ROUND(VLOOKUP("1.1",A3:T105,12,FALSE()),4),0) - IF(ISNUMBER(VLOOKUP("1.1.4",A3:T105,12,FALSE())),ROUND(VLOOKUP("1.1.4",A3:T105,12,FALSE()),4),0) - IF(ISNA(VLOOKUP("11.1.1",A3:T105,12,FALSE())),0,ROUND(VLOOKUP("11.1.1",A3:T105,12,FALSE()),4)))</f>
        <v>0.0710078016642287</v>
      </c>
      <c r="M64" s="18" t="n">
        <f aca="false">((IF(ISNUMBER(VLOOKUP("1.1",A3:T105,13,FALSE())),ROUND(VLOOKUP("1.1",A3:T105,13,FALSE()),4),0) - IF(ISNUMBER(VLOOKUP("9.1.1",A3:T105,13,FALSE())),ROUND(VLOOKUP("9.1.1",A3:T105,13,FALSE()),4),0) - IF(ISNA(VLOOKUP("11.1.1",A3:T105,13,FALSE())),0,ROUND(VLOOKUP("11.1.1",A3:T105,13,FALSE()),4))) + IF(ISNUMBER(VLOOKUP("1.2.1",A3:T105,13,FALSE())),ROUND(VLOOKUP("1.2.1",A3:T105,13,FALSE()),4),0) - (IF(ISNUMBER(VLOOKUP("2.1",A3:T105,13,FALSE())),ROUND(VLOOKUP("2.1",A3:T105,13,FALSE()),4),0) - IF(ISNUMBER(VLOOKUP("9.3.1",A3:T105,13,FALSE())),ROUND(VLOOKUP("9.3.1",A3:T105,13,FALSE()),4),0) - IF(ISNUMBER(VLOOKUP("10.7.2.1.1",A3:T105,13,FALSE())),ROUND(VLOOKUP("10.7.2.1.1",A3:T105,13,FALSE()),4),0) - IF(ISNUMBER(VLOOKUP("2.1.3",A3:T105,13,FALSE())),ROUND(VLOOKUP("2.1.3",A3:T105,13,FALSE()),4),0) - IF(ISNA(VLOOKUP("10.11",A3:T105,13,FALSE())),0,ROUND(VLOOKUP("10.11",A3:T105,13,FALSE()),4)))) / (IF(ISNUMBER(VLOOKUP("1.1",A3:T105,13,FALSE())),ROUND(VLOOKUP("1.1",A3:T105,13,FALSE()),4),0) - IF(ISNUMBER(VLOOKUP("1.1.4",A3:T105,13,FALSE())),ROUND(VLOOKUP("1.1.4",A3:T105,13,FALSE()),4),0) - IF(ISNA(VLOOKUP("11.1.1",A3:T105,13,FALSE())),0,ROUND(VLOOKUP("11.1.1",A3:T105,13,FALSE()),4)))</f>
        <v>0.0657733952293997</v>
      </c>
      <c r="N64" s="18" t="n">
        <f aca="false">((IF(ISNUMBER(VLOOKUP("1.1",A3:T105,14,FALSE())),ROUND(VLOOKUP("1.1",A3:T105,14,FALSE()),4),0) - IF(ISNUMBER(VLOOKUP("9.1.1",A3:T105,14,FALSE())),ROUND(VLOOKUP("9.1.1",A3:T105,14,FALSE()),4),0) - IF(ISNA(VLOOKUP("11.1.1",A3:T105,14,FALSE())),0,ROUND(VLOOKUP("11.1.1",A3:T105,14,FALSE()),4))) + IF(ISNUMBER(VLOOKUP("1.2.1",A3:T105,14,FALSE())),ROUND(VLOOKUP("1.2.1",A3:T105,14,FALSE()),4),0) - (IF(ISNUMBER(VLOOKUP("2.1",A3:T105,14,FALSE())),ROUND(VLOOKUP("2.1",A3:T105,14,FALSE()),4),0) - IF(ISNUMBER(VLOOKUP("9.3.1",A3:T105,14,FALSE())),ROUND(VLOOKUP("9.3.1",A3:T105,14,FALSE()),4),0) - IF(ISNUMBER(VLOOKUP("10.7.2.1.1",A3:T105,14,FALSE())),ROUND(VLOOKUP("10.7.2.1.1",A3:T105,14,FALSE()),4),0) - IF(ISNUMBER(VLOOKUP("2.1.3",A3:T105,14,FALSE())),ROUND(VLOOKUP("2.1.3",A3:T105,14,FALSE()),4),0) - IF(ISNA(VLOOKUP("10.11",A3:T105,14,FALSE())),0,ROUND(VLOOKUP("10.11",A3:T105,14,FALSE()),4)))) / (IF(ISNUMBER(VLOOKUP("1.1",A3:T105,14,FALSE())),ROUND(VLOOKUP("1.1",A3:T105,14,FALSE()),4),0) - IF(ISNUMBER(VLOOKUP("1.1.4",A3:T105,14,FALSE())),ROUND(VLOOKUP("1.1.4",A3:T105,14,FALSE()),4),0) - IF(ISNA(VLOOKUP("11.1.1",A3:T105,14,FALSE())),0,ROUND(VLOOKUP("11.1.1",A3:T105,14,FALSE()),4)))</f>
        <v>0.0607152290485009</v>
      </c>
      <c r="O64" s="18" t="n">
        <f aca="false">((IF(ISNUMBER(VLOOKUP("1.1",A3:T105,15,FALSE())),ROUND(VLOOKUP("1.1",A3:T105,15,FALSE()),4),0) - IF(ISNUMBER(VLOOKUP("9.1.1",A3:T105,15,FALSE())),ROUND(VLOOKUP("9.1.1",A3:T105,15,FALSE()),4),0) - IF(ISNA(VLOOKUP("11.1.1",A3:T105,15,FALSE())),0,ROUND(VLOOKUP("11.1.1",A3:T105,15,FALSE()),4))) + IF(ISNUMBER(VLOOKUP("1.2.1",A3:T105,15,FALSE())),ROUND(VLOOKUP("1.2.1",A3:T105,15,FALSE()),4),0) - (IF(ISNUMBER(VLOOKUP("2.1",A3:T105,15,FALSE())),ROUND(VLOOKUP("2.1",A3:T105,15,FALSE()),4),0) - IF(ISNUMBER(VLOOKUP("9.3.1",A3:T105,15,FALSE())),ROUND(VLOOKUP("9.3.1",A3:T105,15,FALSE()),4),0) - IF(ISNUMBER(VLOOKUP("10.7.2.1.1",A3:T105,15,FALSE())),ROUND(VLOOKUP("10.7.2.1.1",A3:T105,15,FALSE()),4),0) - IF(ISNUMBER(VLOOKUP("2.1.3",A3:T105,15,FALSE())),ROUND(VLOOKUP("2.1.3",A3:T105,15,FALSE()),4),0) - IF(ISNA(VLOOKUP("10.11",A3:T105,15,FALSE())),0,ROUND(VLOOKUP("10.11",A3:T105,15,FALSE()),4)))) / (IF(ISNUMBER(VLOOKUP("1.1",A3:T105,15,FALSE())),ROUND(VLOOKUP("1.1",A3:T105,15,FALSE()),4),0) - IF(ISNUMBER(VLOOKUP("1.1.4",A3:T105,15,FALSE())),ROUND(VLOOKUP("1.1.4",A3:T105,15,FALSE()),4),0) - IF(ISNA(VLOOKUP("11.1.1",A3:T105,15,FALSE())),0,ROUND(VLOOKUP("11.1.1",A3:T105,15,FALSE()),4)))</f>
        <v>0.0598333395114701</v>
      </c>
      <c r="P64" s="18" t="n">
        <f aca="false">((IF(ISNUMBER(VLOOKUP("1.1",A3:T105,16,FALSE())),ROUND(VLOOKUP("1.1",A3:T105,16,FALSE()),4),0) - IF(ISNUMBER(VLOOKUP("9.1.1",A3:T105,16,FALSE())),ROUND(VLOOKUP("9.1.1",A3:T105,16,FALSE()),4),0) - IF(ISNA(VLOOKUP("11.1.1",A3:T105,16,FALSE())),0,ROUND(VLOOKUP("11.1.1",A3:T105,16,FALSE()),4))) + IF(ISNUMBER(VLOOKUP("1.2.1",A3:T105,16,FALSE())),ROUND(VLOOKUP("1.2.1",A3:T105,16,FALSE()),4),0) - (IF(ISNUMBER(VLOOKUP("2.1",A3:T105,16,FALSE())),ROUND(VLOOKUP("2.1",A3:T105,16,FALSE()),4),0) - IF(ISNUMBER(VLOOKUP("9.3.1",A3:T105,16,FALSE())),ROUND(VLOOKUP("9.3.1",A3:T105,16,FALSE()),4),0) - IF(ISNUMBER(VLOOKUP("10.7.2.1.1",A3:T105,16,FALSE())),ROUND(VLOOKUP("10.7.2.1.1",A3:T105,16,FALSE()),4),0) - IF(ISNUMBER(VLOOKUP("2.1.3",A3:T105,16,FALSE())),ROUND(VLOOKUP("2.1.3",A3:T105,16,FALSE()),4),0) - IF(ISNA(VLOOKUP("10.11",A3:T105,16,FALSE())),0,ROUND(VLOOKUP("10.11",A3:T105,16,FALSE()),4)))) / (IF(ISNUMBER(VLOOKUP("1.1",A3:T105,16,FALSE())),ROUND(VLOOKUP("1.1",A3:T105,16,FALSE()),4),0) - IF(ISNUMBER(VLOOKUP("1.1.4",A3:T105,16,FALSE())),ROUND(VLOOKUP("1.1.4",A3:T105,16,FALSE()),4),0) - IF(ISNA(VLOOKUP("11.1.1",A3:T105,16,FALSE())),0,ROUND(VLOOKUP("11.1.1",A3:T105,16,FALSE()),4)))</f>
        <v>0.0574600516016935</v>
      </c>
      <c r="Q64" s="18" t="n">
        <f aca="false">((IF(ISNUMBER(VLOOKUP("1.1",A3:T105,17,FALSE())),ROUND(VLOOKUP("1.1",A3:T105,17,FALSE()),4),0) - IF(ISNUMBER(VLOOKUP("9.1.1",A3:T105,17,FALSE())),ROUND(VLOOKUP("9.1.1",A3:T105,17,FALSE()),4),0) - IF(ISNA(VLOOKUP("11.1.1",A3:T105,17,FALSE())),0,ROUND(VLOOKUP("11.1.1",A3:T105,17,FALSE()),4))) + IF(ISNUMBER(VLOOKUP("1.2.1",A3:T105,17,FALSE())),ROUND(VLOOKUP("1.2.1",A3:T105,17,FALSE()),4),0) - (IF(ISNUMBER(VLOOKUP("2.1",A3:T105,17,FALSE())),ROUND(VLOOKUP("2.1",A3:T105,17,FALSE()),4),0) - IF(ISNUMBER(VLOOKUP("9.3.1",A3:T105,17,FALSE())),ROUND(VLOOKUP("9.3.1",A3:T105,17,FALSE()),4),0) - IF(ISNUMBER(VLOOKUP("10.7.2.1.1",A3:T105,17,FALSE())),ROUND(VLOOKUP("10.7.2.1.1",A3:T105,17,FALSE()),4),0) - IF(ISNUMBER(VLOOKUP("2.1.3",A3:T105,17,FALSE())),ROUND(VLOOKUP("2.1.3",A3:T105,17,FALSE()),4),0) - IF(ISNA(VLOOKUP("10.11",A3:T105,17,FALSE())),0,ROUND(VLOOKUP("10.11",A3:T105,17,FALSE()),4)))) / (IF(ISNUMBER(VLOOKUP("1.1",A3:T105,17,FALSE())),ROUND(VLOOKUP("1.1",A3:T105,17,FALSE()),4),0) - IF(ISNUMBER(VLOOKUP("1.1.4",A3:T105,17,FALSE())),ROUND(VLOOKUP("1.1.4",A3:T105,17,FALSE()),4),0) - IF(ISNA(VLOOKUP("11.1.1",A3:T105,17,FALSE())),0,ROUND(VLOOKUP("11.1.1",A3:T105,17,FALSE()),4)))</f>
        <v>0.0458260306547146</v>
      </c>
      <c r="R64" s="18" t="n">
        <f aca="false">((IF(ISNUMBER(VLOOKUP("1.1",A3:T105,18,FALSE())),ROUND(VLOOKUP("1.1",A3:T105,18,FALSE()),4),0) - IF(ISNUMBER(VLOOKUP("9.1.1",A3:T105,18,FALSE())),ROUND(VLOOKUP("9.1.1",A3:T105,18,FALSE()),4),0) - IF(ISNA(VLOOKUP("11.1.1",A3:T105,18,FALSE())),0,ROUND(VLOOKUP("11.1.1",A3:T105,18,FALSE()),4))) + IF(ISNUMBER(VLOOKUP("1.2.1",A3:T105,18,FALSE())),ROUND(VLOOKUP("1.2.1",A3:T105,18,FALSE()),4),0) - (IF(ISNUMBER(VLOOKUP("2.1",A3:T105,18,FALSE())),ROUND(VLOOKUP("2.1",A3:T105,18,FALSE()),4),0) - IF(ISNUMBER(VLOOKUP("9.3.1",A3:T105,18,FALSE())),ROUND(VLOOKUP("9.3.1",A3:T105,18,FALSE()),4),0) - IF(ISNUMBER(VLOOKUP("10.7.2.1.1",A3:T105,18,FALSE())),ROUND(VLOOKUP("10.7.2.1.1",A3:T105,18,FALSE()),4),0) - IF(ISNUMBER(VLOOKUP("2.1.3",A3:T105,18,FALSE())),ROUND(VLOOKUP("2.1.3",A3:T105,18,FALSE()),4),0) - IF(ISNA(VLOOKUP("10.11",A3:T105,18,FALSE())),0,ROUND(VLOOKUP("10.11",A3:T105,18,FALSE()),4)))) / (IF(ISNUMBER(VLOOKUP("1.1",A3:T105,18,FALSE())),ROUND(VLOOKUP("1.1",A3:T105,18,FALSE()),4),0) - IF(ISNUMBER(VLOOKUP("1.1.4",A3:T105,18,FALSE())),ROUND(VLOOKUP("1.1.4",A3:T105,18,FALSE()),4),0) - IF(ISNA(VLOOKUP("11.1.1",A3:T105,18,FALSE())),0,ROUND(VLOOKUP("11.1.1",A3:T105,18,FALSE()),4)))</f>
        <v>0.0449985128508955</v>
      </c>
      <c r="S64" s="18" t="n">
        <f aca="false">((IF(ISNUMBER(VLOOKUP("1.1",A3:T105,19,FALSE())),ROUND(VLOOKUP("1.1",A3:T105,19,FALSE()),4),0) - IF(ISNUMBER(VLOOKUP("9.1.1",A3:T105,19,FALSE())),ROUND(VLOOKUP("9.1.1",A3:T105,19,FALSE()),4),0) - IF(ISNA(VLOOKUP("11.1.1",A3:T105,19,FALSE())),0,ROUND(VLOOKUP("11.1.1",A3:T105,19,FALSE()),4))) + IF(ISNUMBER(VLOOKUP("1.2.1",A3:T105,19,FALSE())),ROUND(VLOOKUP("1.2.1",A3:T105,19,FALSE()),4),0) - (IF(ISNUMBER(VLOOKUP("2.1",A3:T105,19,FALSE())),ROUND(VLOOKUP("2.1",A3:T105,19,FALSE()),4),0) - IF(ISNUMBER(VLOOKUP("9.3.1",A3:T105,19,FALSE())),ROUND(VLOOKUP("9.3.1",A3:T105,19,FALSE()),4),0) - IF(ISNUMBER(VLOOKUP("10.7.2.1.1",A3:T105,19,FALSE())),ROUND(VLOOKUP("10.7.2.1.1",A3:T105,19,FALSE()),4),0) - IF(ISNUMBER(VLOOKUP("2.1.3",A3:T105,19,FALSE())),ROUND(VLOOKUP("2.1.3",A3:T105,19,FALSE()),4),0) - IF(ISNA(VLOOKUP("10.11",A3:T105,19,FALSE())),0,ROUND(VLOOKUP("10.11",A3:T105,19,FALSE()),4)))) / (IF(ISNUMBER(VLOOKUP("1.1",A3:T105,19,FALSE())),ROUND(VLOOKUP("1.1",A3:T105,19,FALSE()),4),0) - IF(ISNUMBER(VLOOKUP("1.1.4",A3:T105,19,FALSE())),ROUND(VLOOKUP("1.1.4",A3:T105,19,FALSE()),4),0) - IF(ISNA(VLOOKUP("11.1.1",A3:T105,19,FALSE())),0,ROUND(VLOOKUP("11.1.1",A3:T105,19,FALSE()),4)))</f>
        <v>0.0444024799615719</v>
      </c>
      <c r="T64" s="18" t="n">
        <f aca="false">((IF(ISNUMBER(VLOOKUP("1.1",A3:T105,20,FALSE())),ROUND(VLOOKUP("1.1",A3:T105,20,FALSE()),4),0) - IF(ISNUMBER(VLOOKUP("9.1.1",A3:T105,20,FALSE())),ROUND(VLOOKUP("9.1.1",A3:T105,20,FALSE()),4),0) - IF(ISNA(VLOOKUP("11.1.1",A3:T105,20,FALSE())),0,ROUND(VLOOKUP("11.1.1",A3:T105,20,FALSE()),4))) + IF(ISNUMBER(VLOOKUP("1.2.1",A3:T105,20,FALSE())),ROUND(VLOOKUP("1.2.1",A3:T105,20,FALSE()),4),0) - (IF(ISNUMBER(VLOOKUP("2.1",A3:T105,20,FALSE())),ROUND(VLOOKUP("2.1",A3:T105,20,FALSE()),4),0) - IF(ISNUMBER(VLOOKUP("9.3.1",A3:T105,20,FALSE())),ROUND(VLOOKUP("9.3.1",A3:T105,20,FALSE()),4),0) - IF(ISNUMBER(VLOOKUP("10.7.2.1.1",A3:T105,20,FALSE())),ROUND(VLOOKUP("10.7.2.1.1",A3:T105,20,FALSE()),4),0) - IF(ISNUMBER(VLOOKUP("2.1.3",A3:T105,20,FALSE())),ROUND(VLOOKUP("2.1.3",A3:T105,20,FALSE()),4),0) - IF(ISNA(VLOOKUP("10.11",A3:T105,20,FALSE())),0,ROUND(VLOOKUP("10.11",A3:T105,20,FALSE()),4)))) / (IF(ISNUMBER(VLOOKUP("1.1",A3:T105,20,FALSE())),ROUND(VLOOKUP("1.1",A3:T105,20,FALSE()),4),0) - IF(ISNUMBER(VLOOKUP("1.1.4",A3:T105,20,FALSE())),ROUND(VLOOKUP("1.1.4",A3:T105,20,FALSE()),4),0) - IF(ISNA(VLOOKUP("11.1.1",A3:T105,20,FALSE())),0,ROUND(VLOOKUP("11.1.1",A3:T105,20,FALSE()),4)))</f>
        <v>0.0440381440307987</v>
      </c>
    </row>
    <row r="65" customFormat="false" ht="78" hidden="false" customHeight="true" outlineLevel="0" collapsed="false">
      <c r="A65" s="15" t="s">
        <v>138</v>
      </c>
      <c r="B65" s="16" t="s">
        <v>139</v>
      </c>
      <c r="C65" s="17" t="n">
        <f aca="false">0.15</f>
        <v>0.15</v>
      </c>
      <c r="D65" s="17" t="n">
        <f aca="false">0.15</f>
        <v>0.15</v>
      </c>
      <c r="E65" s="17" t="n">
        <f aca="false">0.15</f>
        <v>0.15</v>
      </c>
      <c r="F65" s="17" t="n">
        <f aca="false">0.15</f>
        <v>0.15</v>
      </c>
      <c r="G65" s="17" t="n">
        <f aca="false">0.15</f>
        <v>0.15</v>
      </c>
      <c r="H65" s="17" t="n">
        <f aca="false">0.15</f>
        <v>0.15</v>
      </c>
      <c r="I65" s="17" t="n">
        <f aca="false">0.15</f>
        <v>0.15</v>
      </c>
      <c r="J65" s="17" t="n">
        <f aca="false">0.15</f>
        <v>0.15</v>
      </c>
      <c r="K65" s="18" t="n">
        <f aca="false">(IF(ISNUMBER(VLOOKUP("8.2.x",A3:T105,3,FALSE())),ROUND(VLOOKUP("8.2.x",A3:T105,3,FALSE()),4),0)+IF(ISNUMBER(VLOOKUP("8.2.x",A3:T105,4,FALSE())),ROUND(VLOOKUP("8.2.x",A3:T105,4,FALSE()),4),0)+IF(ISNUMBER(VLOOKUP("8.2.x",A3:T105,5,FALSE())),ROUND(VLOOKUP("8.2.x",A3:T105,5,FALSE()),4),0)+IF(ISNUMBER(VLOOKUP("8.2.x",A3:T105,6,FALSE())),ROUND(VLOOKUP("8.2.x",A3:T105,6,FALSE()),4),0)+IF(ISNUMBER(VLOOKUP("8.2.x",A3:T105,7,FALSE())),ROUND(VLOOKUP("8.2.x",A3:T105,7,FALSE()),4),0)+IF(ISNUMBER(VLOOKUP("8.2.x",A3:T105,8,FALSE())),ROUND(VLOOKUP("8.2.x",A3:T105,8,FALSE()),4),0)+IF(ISNUMBER(VLOOKUP("8.2.x",A3:T105,9,FALSE())),ROUND(VLOOKUP("8.2.x",A3:T105,9,FALSE()),4),0))/7</f>
        <v>0.163457142857143</v>
      </c>
      <c r="L65" s="18" t="n">
        <f aca="false">(IF(ISNUMBER(VLOOKUP("8.2.x",A3:T105,4,FALSE())),ROUND(VLOOKUP("8.2.x",A3:T105,4,FALSE()),4),0)+IF(ISNUMBER(VLOOKUP("8.2.x",A3:T105,5,FALSE())),ROUND(VLOOKUP("8.2.x",A3:T105,5,FALSE()),4),0)+IF(ISNUMBER(VLOOKUP("8.2.x",A3:T105,6,FALSE())),ROUND(VLOOKUP("8.2.x",A3:T105,6,FALSE()),4),0)+IF(ISNUMBER(VLOOKUP("8.2.x",A3:T105,7,FALSE())),ROUND(VLOOKUP("8.2.x",A3:T105,7,FALSE()),4),0)+IF(ISNUMBER(VLOOKUP("8.2.x",A3:T105,8,FALSE())),ROUND(VLOOKUP("8.2.x",A3:T105,8,FALSE()),4),0)+IF(ISNUMBER(VLOOKUP("8.2.x",A3:T105,9,FALSE())),ROUND(VLOOKUP("8.2.x",A3:T105,9,FALSE()),4),0)+IF(ISNUMBER(VLOOKUP("8.2",A3:T105,11,FALSE())),ROUND(VLOOKUP("8.2",A3:T105,11,FALSE()),4),0))/7</f>
        <v>0.1424</v>
      </c>
      <c r="M65" s="18" t="n">
        <f aca="false">(IF(ISNUMBER(VLOOKUP("8.2.x",A3:T105,5,FALSE())),ROUND(VLOOKUP("8.2.x",A3:T105,5,FALSE()),4),0)+IF(ISNUMBER(VLOOKUP("8.2.x",A3:T105,6,FALSE())),ROUND(VLOOKUP("8.2.x",A3:T105,6,FALSE()),4),0)+IF(ISNUMBER(VLOOKUP("8.2.x",A3:T105,7,FALSE())),ROUND(VLOOKUP("8.2.x",A3:T105,7,FALSE()),4),0)+IF(ISNUMBER(VLOOKUP("8.2.x",A3:T105,8,FALSE())),ROUND(VLOOKUP("8.2.x",A3:T105,8,FALSE()),4),0)+IF(ISNUMBER(VLOOKUP("8.2.x",A3:T105,9,FALSE())),ROUND(VLOOKUP("8.2.x",A3:T105,9,FALSE()),4),0)+IF(ISNUMBER(VLOOKUP("8.2",A3:T105,11,FALSE())),ROUND(VLOOKUP("8.2",A3:T105,11,FALSE()),4),0)+IF(ISNUMBER(VLOOKUP("8.2",A3:T105,12,FALSE())),ROUND(VLOOKUP("8.2",A3:T105,12,FALSE()),4),0))/7</f>
        <v>0.129985714285714</v>
      </c>
      <c r="N65" s="18" t="n">
        <f aca="false">(IF(ISNUMBER(VLOOKUP("8.2.x",A3:T105,6,FALSE())),ROUND(VLOOKUP("8.2.x",A3:T105,6,FALSE()),4),0)+IF(ISNUMBER(VLOOKUP("8.2.x",A3:T105,7,FALSE())),ROUND(VLOOKUP("8.2.x",A3:T105,7,FALSE()),4),0)+IF(ISNUMBER(VLOOKUP("8.2.x",A3:T105,8,FALSE())),ROUND(VLOOKUP("8.2.x",A3:T105,8,FALSE()),4),0)+IF(ISNUMBER(VLOOKUP("8.2.x",A3:T105,9,FALSE())),ROUND(VLOOKUP("8.2.x",A3:T105,9,FALSE()),4),0)+IF(ISNUMBER(VLOOKUP("8.2",A3:T105,11,FALSE())),ROUND(VLOOKUP("8.2",A3:T105,11,FALSE()),4),0)+IF(ISNUMBER(VLOOKUP("8.2",A3:T105,12,FALSE())),ROUND(VLOOKUP("8.2",A3:T105,12,FALSE()),4),0)+IF(ISNUMBER(VLOOKUP("8.2",A3:T105,13,FALSE())),ROUND(VLOOKUP("8.2",A3:T105,13,FALSE()),4),0))/7</f>
        <v>0.109757142857143</v>
      </c>
      <c r="O65" s="18" t="n">
        <f aca="false">(IF(ISNUMBER(VLOOKUP("8.2.x",A3:T105,7,FALSE())),ROUND(VLOOKUP("8.2.x",A3:T105,7,FALSE()),4),0)+IF(ISNUMBER(VLOOKUP("8.2.x",A3:T105,8,FALSE())),ROUND(VLOOKUP("8.2.x",A3:T105,8,FALSE()),4),0)+IF(ISNUMBER(VLOOKUP("8.2.x",A3:T105,9,FALSE())),ROUND(VLOOKUP("8.2.x",A3:T105,9,FALSE()),4),0)+IF(ISNUMBER(VLOOKUP("8.2",A3:T105,11,FALSE())),ROUND(VLOOKUP("8.2",A3:T105,11,FALSE()),4),0)+IF(ISNUMBER(VLOOKUP("8.2",A3:T105,12,FALSE())),ROUND(VLOOKUP("8.2",A3:T105,12,FALSE()),4),0)+IF(ISNUMBER(VLOOKUP("8.2",A3:T105,13,FALSE())),ROUND(VLOOKUP("8.2",A3:T105,13,FALSE()),4),0)+IF(ISNUMBER(VLOOKUP("8.2",A3:T105,14,FALSE())),ROUND(VLOOKUP("8.2",A3:T105,14,FALSE()),4),0))/7</f>
        <v>0.0758571428571429</v>
      </c>
      <c r="P65" s="18" t="n">
        <f aca="false">(IF(ISNUMBER(VLOOKUP("8.2.x",A3:T105,8,FALSE())),ROUND(VLOOKUP("8.2.x",A3:T105,8,FALSE()),4),0)+IF(ISNUMBER(VLOOKUP("8.2.x",A3:T105,9,FALSE())),ROUND(VLOOKUP("8.2.x",A3:T105,9,FALSE()),4),0)+IF(ISNUMBER(VLOOKUP("8.2",A3:T105,11,FALSE())),ROUND(VLOOKUP("8.2",A3:T105,11,FALSE()),4),0)+IF(ISNUMBER(VLOOKUP("8.2",A3:T105,12,FALSE())),ROUND(VLOOKUP("8.2",A3:T105,12,FALSE()),4),0)+IF(ISNUMBER(VLOOKUP("8.2",A3:T105,13,FALSE())),ROUND(VLOOKUP("8.2",A3:T105,13,FALSE()),4),0)+IF(ISNUMBER(VLOOKUP("8.2",A3:T105,14,FALSE())),ROUND(VLOOKUP("8.2",A3:T105,14,FALSE()),4),0)+IF(ISNUMBER(VLOOKUP("8.2",A3:T105,15,FALSE())),ROUND(VLOOKUP("8.2",A3:T105,15,FALSE()),4),0))/7</f>
        <v>0.0488428571428571</v>
      </c>
      <c r="Q65" s="18" t="n">
        <f aca="false">(IF(ISNUMBER(VLOOKUP("8.2.x",A3:T105,9,FALSE())),ROUND(VLOOKUP("8.2.x",A3:T105,9,FALSE()),4),0)+IF(ISNUMBER(VLOOKUP("8.2",A3:T105,11,FALSE())),ROUND(VLOOKUP("8.2",A3:T105,11,FALSE()),4),0)+IF(ISNUMBER(VLOOKUP("8.2",A3:T105,12,FALSE())),ROUND(VLOOKUP("8.2",A3:T105,12,FALSE()),4),0)+IF(ISNUMBER(VLOOKUP("8.2",A3:T105,13,FALSE())),ROUND(VLOOKUP("8.2",A3:T105,13,FALSE()),4),0)+IF(ISNUMBER(VLOOKUP("8.2",A3:T105,14,FALSE())),ROUND(VLOOKUP("8.2",A3:T105,14,FALSE()),4),0)+IF(ISNUMBER(VLOOKUP("8.2",A3:T105,15,FALSE())),ROUND(VLOOKUP("8.2",A3:T105,15,FALSE()),4),0)+IF(ISNUMBER(VLOOKUP("8.2",A3:T105,16,FALSE())),ROUND(VLOOKUP("8.2",A3:T105,16,FALSE()),4),0))/7</f>
        <v>0.0366142857142857</v>
      </c>
      <c r="R65" s="18" t="n">
        <f aca="false">(IF(ISNUMBER(VLOOKUP("8.2",A3:T105,11,FALSE())),ROUND(VLOOKUP("8.2",A3:T105,11,FALSE()),4),0)+IF(ISNUMBER(VLOOKUP("8.2",A3:T105,12,FALSE())),ROUND(VLOOKUP("8.2",A3:T105,12,FALSE()),4),0)+IF(ISNUMBER(VLOOKUP("8.2",A3:T105,13,FALSE())),ROUND(VLOOKUP("8.2",A3:T105,13,FALSE()),4),0)+IF(ISNUMBER(VLOOKUP("8.2",A3:T105,14,FALSE())),ROUND(VLOOKUP("8.2",A3:T105,14,FALSE()),4),0)+IF(ISNUMBER(VLOOKUP("8.2",A3:T105,15,FALSE())),ROUND(VLOOKUP("8.2",A3:T105,15,FALSE()),4),0)+IF(ISNUMBER(VLOOKUP("8.2",A3:T105,16,FALSE())),ROUND(VLOOKUP("8.2",A3:T105,16,FALSE()),4),0)+IF(ISNUMBER(VLOOKUP("8.2",A3:T105,17,FALSE())),ROUND(VLOOKUP("8.2",A3:T105,17,FALSE()),4),0))/7</f>
        <v>0.0350857142857143</v>
      </c>
      <c r="S65" s="18" t="n">
        <f aca="false">(IF(ISNUMBER(VLOOKUP("8.2",A3:T105,12,FALSE())),ROUND(VLOOKUP("8.2",A3:T105,12,FALSE()),4),0)+IF(ISNUMBER(VLOOKUP("8.2",A3:T105,13,FALSE())),ROUND(VLOOKUP("8.2",A3:T105,13,FALSE()),4),0)+IF(ISNUMBER(VLOOKUP("8.2",A3:T105,14,FALSE())),ROUND(VLOOKUP("8.2",A3:T105,14,FALSE()),4),0)+IF(ISNUMBER(VLOOKUP("8.2",A3:T105,15,FALSE())),ROUND(VLOOKUP("8.2",A3:T105,15,FALSE()),4),0)+IF(ISNUMBER(VLOOKUP("8.2",A3:T105,16,FALSE())),ROUND(VLOOKUP("8.2",A3:T105,16,FALSE()),4),0)+IF(ISNUMBER(VLOOKUP("8.2",A3:T105,17,FALSE())),ROUND(VLOOKUP("8.2",A3:T105,17,FALSE()),4),0)+IF(ISNUMBER(VLOOKUP("8.2",A3:T105,18,FALSE())),ROUND(VLOOKUP("8.2",A3:T105,18,FALSE()),4),0))/7</f>
        <v>0.0348142857142857</v>
      </c>
      <c r="T65" s="18" t="n">
        <f aca="false">(IF(ISNUMBER(VLOOKUP("8.2",A3:T105,13,FALSE())),ROUND(VLOOKUP("8.2",A3:T105,13,FALSE()),4),0)+IF(ISNUMBER(VLOOKUP("8.2",A3:T105,14,FALSE())),ROUND(VLOOKUP("8.2",A3:T105,14,FALSE()),4),0)+IF(ISNUMBER(VLOOKUP("8.2",A3:T105,15,FALSE())),ROUND(VLOOKUP("8.2",A3:T105,15,FALSE()),4),0)+IF(ISNUMBER(VLOOKUP("8.2",A3:T105,16,FALSE())),ROUND(VLOOKUP("8.2",A3:T105,16,FALSE()),4),0)+IF(ISNUMBER(VLOOKUP("8.2",A3:T105,17,FALSE())),ROUND(VLOOKUP("8.2",A3:T105,17,FALSE()),4),0)+IF(ISNUMBER(VLOOKUP("8.2",A3:T105,18,FALSE())),ROUND(VLOOKUP("8.2",A3:T105,18,FALSE()),4),0)+IF(ISNUMBER(VLOOKUP("8.2",A3:T105,19,FALSE())),ROUND(VLOOKUP("8.2",A3:T105,19,FALSE()),4),0))/7</f>
        <v>0.0330142857142857</v>
      </c>
    </row>
    <row r="66" customFormat="false" ht="78" hidden="false" customHeight="true" outlineLevel="0" collapsed="false">
      <c r="A66" s="15" t="s">
        <v>140</v>
      </c>
      <c r="B66" s="16" t="s">
        <v>141</v>
      </c>
      <c r="C66" s="17" t="n">
        <f aca="false">0.15</f>
        <v>0.15</v>
      </c>
      <c r="D66" s="17" t="n">
        <f aca="false">0.15</f>
        <v>0.15</v>
      </c>
      <c r="E66" s="17" t="n">
        <f aca="false">0.15</f>
        <v>0.15</v>
      </c>
      <c r="F66" s="17" t="n">
        <f aca="false">0.15</f>
        <v>0.15</v>
      </c>
      <c r="G66" s="17" t="n">
        <f aca="false">0.15</f>
        <v>0.15</v>
      </c>
      <c r="H66" s="17" t="n">
        <f aca="false">0.15</f>
        <v>0.15</v>
      </c>
      <c r="I66" s="17" t="n">
        <f aca="false">0.15</f>
        <v>0.15</v>
      </c>
      <c r="J66" s="17" t="n">
        <f aca="false">0.15</f>
        <v>0.15</v>
      </c>
      <c r="K66" s="18" t="n">
        <f aca="false">(IF(ISNUMBER(VLOOKUP("8.2.x",A3:T105,3,FALSE())),ROUND(VLOOKUP("8.2.x",A3:T105,3,FALSE()),4),0)+IF(ISNUMBER(VLOOKUP("8.2.x",A3:T105,4,FALSE())),ROUND(VLOOKUP("8.2.x",A3:T105,4,FALSE()),4),0)+IF(ISNUMBER(VLOOKUP("8.2.x",A3:T105,5,FALSE())),ROUND(VLOOKUP("8.2.x",A3:T105,5,FALSE()),4),0)+IF(ISNUMBER(VLOOKUP("8.2.x",A3:T105,6,FALSE())),ROUND(VLOOKUP("8.2.x",A3:T105,6,FALSE()),4),0)+IF(ISNUMBER(VLOOKUP("8.2.x",A3:T105,7,FALSE())),ROUND(VLOOKUP("8.2.x",A3:T105,7,FALSE()),4),0)+IF(ISNUMBER(VLOOKUP("8.2.x",A3:T105,8,FALSE())),ROUND(VLOOKUP("8.2.x",A3:T105,8,FALSE()),4),0)+IF(ISNUMBER(VLOOKUP("8.2.x",A3:T105,10,FALSE())),ROUND(VLOOKUP("8.2.x",A3:T105,10,FALSE()),4),0))/7</f>
        <v>0.179814285714286</v>
      </c>
      <c r="L66" s="18" t="n">
        <f aca="false">(IF(ISNUMBER(VLOOKUP("8.2.x",A3:T105,4,FALSE())),ROUND(VLOOKUP("8.2.x",A3:T105,4,FALSE()),4),0)+IF(ISNUMBER(VLOOKUP("8.2.x",A3:T105,5,FALSE())),ROUND(VLOOKUP("8.2.x",A3:T105,5,FALSE()),4),0)+IF(ISNUMBER(VLOOKUP("8.2.x",A3:T105,6,FALSE())),ROUND(VLOOKUP("8.2.x",A3:T105,6,FALSE()),4),0)+IF(ISNUMBER(VLOOKUP("8.2.x",A3:T105,7,FALSE())),ROUND(VLOOKUP("8.2.x",A3:T105,7,FALSE()),4),0)+IF(ISNUMBER(VLOOKUP("8.2.x",A3:T105,8,FALSE())),ROUND(VLOOKUP("8.2.x",A3:T105,8,FALSE()),4),0)+IF(ISNUMBER(VLOOKUP("8.2.x",A3:T105,10,FALSE())),ROUND(VLOOKUP("8.2.x",A3:T105,10,FALSE()),4),0)+IF(ISNUMBER(VLOOKUP("8.2",A3:T105,11,FALSE())),ROUND(VLOOKUP("8.2",A3:T105,11,FALSE()),4),0))/7</f>
        <v>0.158757142857143</v>
      </c>
      <c r="M66" s="18" t="n">
        <f aca="false">(IF(ISNUMBER(VLOOKUP("8.2.x",A3:T105,5,FALSE())),ROUND(VLOOKUP("8.2.x",A3:T105,5,FALSE()),4),0)+IF(ISNUMBER(VLOOKUP("8.2.x",A3:T105,6,FALSE())),ROUND(VLOOKUP("8.2.x",A3:T105,6,FALSE()),4),0)+IF(ISNUMBER(VLOOKUP("8.2.x",A3:T105,7,FALSE())),ROUND(VLOOKUP("8.2.x",A3:T105,7,FALSE()),4),0)+IF(ISNUMBER(VLOOKUP("8.2.x",A3:T105,8,FALSE())),ROUND(VLOOKUP("8.2.x",A3:T105,8,FALSE()),4),0)+IF(ISNUMBER(VLOOKUP("8.2.x",A3:T105,10,FALSE())),ROUND(VLOOKUP("8.2.x",A3:T105,10,FALSE()),4),0)+IF(ISNUMBER(VLOOKUP("8.2",A3:T105,11,FALSE())),ROUND(VLOOKUP("8.2",A3:T105,11,FALSE()),4),0)+IF(ISNUMBER(VLOOKUP("8.2",A3:T105,12,FALSE())),ROUND(VLOOKUP("8.2",A3:T105,12,FALSE()),4),0))/7</f>
        <v>0.146342857142857</v>
      </c>
      <c r="N66" s="18" t="n">
        <f aca="false">(IF(ISNUMBER(VLOOKUP("8.2.x",A3:T105,6,FALSE())),ROUND(VLOOKUP("8.2.x",A3:T105,6,FALSE()),4),0)+IF(ISNUMBER(VLOOKUP("8.2.x",A3:T105,7,FALSE())),ROUND(VLOOKUP("8.2.x",A3:T105,7,FALSE()),4),0)+IF(ISNUMBER(VLOOKUP("8.2.x",A3:T105,8,FALSE())),ROUND(VLOOKUP("8.2.x",A3:T105,8,FALSE()),4),0)+IF(ISNUMBER(VLOOKUP("8.2.x",A3:T105,10,FALSE())),ROUND(VLOOKUP("8.2.x",A3:T105,10,FALSE()),4),0)+IF(ISNUMBER(VLOOKUP("8.2",A3:T105,11,FALSE())),ROUND(VLOOKUP("8.2",A3:T105,11,FALSE()),4),0)+IF(ISNUMBER(VLOOKUP("8.2",A3:T105,12,FALSE())),ROUND(VLOOKUP("8.2",A3:T105,12,FALSE()),4),0)+IF(ISNUMBER(VLOOKUP("8.2",A3:T105,13,FALSE())),ROUND(VLOOKUP("8.2",A3:T105,13,FALSE()),4),0))/7</f>
        <v>0.126114285714286</v>
      </c>
      <c r="O66" s="18" t="n">
        <f aca="false">(IF(ISNUMBER(VLOOKUP("8.2.x",A3:T105,7,FALSE())),ROUND(VLOOKUP("8.2.x",A3:T105,7,FALSE()),4),0)+IF(ISNUMBER(VLOOKUP("8.2.x",A3:T105,8,FALSE())),ROUND(VLOOKUP("8.2.x",A3:T105,8,FALSE()),4),0)+IF(ISNUMBER(VLOOKUP("8.2.x",A3:T105,10,FALSE())),ROUND(VLOOKUP("8.2.x",A3:T105,10,FALSE()),4),0)+IF(ISNUMBER(VLOOKUP("8.2",A3:T105,11,FALSE())),ROUND(VLOOKUP("8.2",A3:T105,11,FALSE()),4),0)+IF(ISNUMBER(VLOOKUP("8.2",A3:T105,12,FALSE())),ROUND(VLOOKUP("8.2",A3:T105,12,FALSE()),4),0)+IF(ISNUMBER(VLOOKUP("8.2",A3:T105,13,FALSE())),ROUND(VLOOKUP("8.2",A3:T105,13,FALSE()),4),0)+IF(ISNUMBER(VLOOKUP("8.2",A3:T105,14,FALSE())),ROUND(VLOOKUP("8.2",A3:T105,14,FALSE()),4),0))/7</f>
        <v>0.0922142857142857</v>
      </c>
      <c r="P66" s="18" t="n">
        <f aca="false">(IF(ISNUMBER(VLOOKUP("8.2.x",A3:T105,8,FALSE())),ROUND(VLOOKUP("8.2.x",A3:T105,8,FALSE()),4),0)+IF(ISNUMBER(VLOOKUP("8.2.x",A3:T105,10,FALSE())),ROUND(VLOOKUP("8.2.x",A3:T105,10,FALSE()),4),0)+IF(ISNUMBER(VLOOKUP("8.2",A3:T105,11,FALSE())),ROUND(VLOOKUP("8.2",A3:T105,11,FALSE()),4),0)+IF(ISNUMBER(VLOOKUP("8.2",A3:T105,12,FALSE())),ROUND(VLOOKUP("8.2",A3:T105,12,FALSE()),4),0)+IF(ISNUMBER(VLOOKUP("8.2",A3:T105,13,FALSE())),ROUND(VLOOKUP("8.2",A3:T105,13,FALSE()),4),0)+IF(ISNUMBER(VLOOKUP("8.2",A3:T105,14,FALSE())),ROUND(VLOOKUP("8.2",A3:T105,14,FALSE()),4),0)+IF(ISNUMBER(VLOOKUP("8.2",A3:T105,15,FALSE())),ROUND(VLOOKUP("8.2",A3:T105,15,FALSE()),4),0))/7</f>
        <v>0.0652</v>
      </c>
      <c r="Q66" s="18" t="n">
        <f aca="false">(IF(ISNUMBER(VLOOKUP("8.2.x",A3:T105,10,FALSE())),ROUND(VLOOKUP("8.2.x",A3:T105,10,FALSE()),4),0)+IF(ISNUMBER(VLOOKUP("8.2",A3:T105,11,FALSE())),ROUND(VLOOKUP("8.2",A3:T105,11,FALSE()),4),0)+IF(ISNUMBER(VLOOKUP("8.2",A3:T105,12,FALSE())),ROUND(VLOOKUP("8.2",A3:T105,12,FALSE()),4),0)+IF(ISNUMBER(VLOOKUP("8.2",A3:T105,13,FALSE())),ROUND(VLOOKUP("8.2",A3:T105,13,FALSE()),4),0)+IF(ISNUMBER(VLOOKUP("8.2",A3:T105,14,FALSE())),ROUND(VLOOKUP("8.2",A3:T105,14,FALSE()),4),0)+IF(ISNUMBER(VLOOKUP("8.2",A3:T105,15,FALSE())),ROUND(VLOOKUP("8.2",A3:T105,15,FALSE()),4),0)+IF(ISNUMBER(VLOOKUP("8.2",A3:T105,16,FALSE())),ROUND(VLOOKUP("8.2",A3:T105,16,FALSE()),4),0))/7</f>
        <v>0.0529714285714286</v>
      </c>
      <c r="R66" s="18" t="n">
        <f aca="false">(IF(ISNUMBER(VLOOKUP("8.2",A3:T105,11,FALSE())),ROUND(VLOOKUP("8.2",A3:T105,11,FALSE()),4),0)+IF(ISNUMBER(VLOOKUP("8.2",A3:T105,12,FALSE())),ROUND(VLOOKUP("8.2",A3:T105,12,FALSE()),4),0)+IF(ISNUMBER(VLOOKUP("8.2",A3:T105,13,FALSE())),ROUND(VLOOKUP("8.2",A3:T105,13,FALSE()),4),0)+IF(ISNUMBER(VLOOKUP("8.2",A3:T105,14,FALSE())),ROUND(VLOOKUP("8.2",A3:T105,14,FALSE()),4),0)+IF(ISNUMBER(VLOOKUP("8.2",A3:T105,15,FALSE())),ROUND(VLOOKUP("8.2",A3:T105,15,FALSE()),4),0)+IF(ISNUMBER(VLOOKUP("8.2",A3:T105,16,FALSE())),ROUND(VLOOKUP("8.2",A3:T105,16,FALSE()),4),0)+IF(ISNUMBER(VLOOKUP("8.2",A3:T105,17,FALSE())),ROUND(VLOOKUP("8.2",A3:T105,17,FALSE()),4),0))/7</f>
        <v>0.0350857142857143</v>
      </c>
      <c r="S66" s="18" t="n">
        <f aca="false">(IF(ISNUMBER(VLOOKUP("8.2",A3:T105,12,FALSE())),ROUND(VLOOKUP("8.2",A3:T105,12,FALSE()),4),0)+IF(ISNUMBER(VLOOKUP("8.2",A3:T105,13,FALSE())),ROUND(VLOOKUP("8.2",A3:T105,13,FALSE()),4),0)+IF(ISNUMBER(VLOOKUP("8.2",A3:T105,14,FALSE())),ROUND(VLOOKUP("8.2",A3:T105,14,FALSE()),4),0)+IF(ISNUMBER(VLOOKUP("8.2",A3:T105,15,FALSE())),ROUND(VLOOKUP("8.2",A3:T105,15,FALSE()),4),0)+IF(ISNUMBER(VLOOKUP("8.2",A3:T105,16,FALSE())),ROUND(VLOOKUP("8.2",A3:T105,16,FALSE()),4),0)+IF(ISNUMBER(VLOOKUP("8.2",A3:T105,17,FALSE())),ROUND(VLOOKUP("8.2",A3:T105,17,FALSE()),4),0)+IF(ISNUMBER(VLOOKUP("8.2",A3:T105,18,FALSE())),ROUND(VLOOKUP("8.2",A3:T105,18,FALSE()),4),0))/7</f>
        <v>0.0348142857142857</v>
      </c>
      <c r="T66" s="18" t="n">
        <f aca="false">(IF(ISNUMBER(VLOOKUP("8.2",A3:T105,13,FALSE())),ROUND(VLOOKUP("8.2",A3:T105,13,FALSE()),4),0)+IF(ISNUMBER(VLOOKUP("8.2",A3:T105,14,FALSE())),ROUND(VLOOKUP("8.2",A3:T105,14,FALSE()),4),0)+IF(ISNUMBER(VLOOKUP("8.2",A3:T105,15,FALSE())),ROUND(VLOOKUP("8.2",A3:T105,15,FALSE()),4),0)+IF(ISNUMBER(VLOOKUP("8.2",A3:T105,16,FALSE())),ROUND(VLOOKUP("8.2",A3:T105,16,FALSE()),4),0)+IF(ISNUMBER(VLOOKUP("8.2",A3:T105,17,FALSE())),ROUND(VLOOKUP("8.2",A3:T105,17,FALSE()),4),0)+IF(ISNUMBER(VLOOKUP("8.2",A3:T105,18,FALSE())),ROUND(VLOOKUP("8.2",A3:T105,18,FALSE()),4),0)+IF(ISNUMBER(VLOOKUP("8.2",A3:T105,19,FALSE())),ROUND(VLOOKUP("8.2",A3:T105,19,FALSE()),4),0))/7</f>
        <v>0.0330142857142857</v>
      </c>
    </row>
    <row r="67" customFormat="false" ht="78" hidden="false" customHeight="true" outlineLevel="0" collapsed="false">
      <c r="A67" s="3" t="s">
        <v>142</v>
      </c>
      <c r="B67" s="4" t="s">
        <v>143</v>
      </c>
      <c r="C67" s="19" t="str">
        <f aca="false">IF(IF(ISNUMBER(VLOOKUP("8.1",A3:T105,3,FALSE())),ROUND(VLOOKUP("8.1",A3:T105,3,FALSE()),4),0) - IF(ISNUMBER(VLOOKUP("8.3",A3:T105,3,FALSE())),ROUND(VLOOKUP("8.3",A3:T105,3,FALSE()),4),0) &lt;= 0, "Tak", "Nie")</f>
        <v>Tak</v>
      </c>
      <c r="D67" s="19" t="str">
        <f aca="false">IF(IF(ISNUMBER(VLOOKUP("8.1",A3:T105,4,FALSE())),ROUND(VLOOKUP("8.1",A3:T105,4,FALSE()),4),0) - IF(ISNUMBER(VLOOKUP("8.3",A3:T105,4,FALSE())),ROUND(VLOOKUP("8.3",A3:T105,4,FALSE()),4),0) &lt;= 0, "Tak", "Nie")</f>
        <v>Tak</v>
      </c>
      <c r="E67" s="19" t="str">
        <f aca="false">IF(IF(ISNUMBER(VLOOKUP("8.1",A3:T105,5,FALSE())),ROUND(VLOOKUP("8.1",A3:T105,5,FALSE()),4),0) - IF(ISNUMBER(VLOOKUP("8.3",A3:T105,5,FALSE())),ROUND(VLOOKUP("8.3",A3:T105,5,FALSE()),4),0) &lt;= 0, "Tak", "Nie")</f>
        <v>Tak</v>
      </c>
      <c r="F67" s="19" t="str">
        <f aca="false">IF(IF(ISNUMBER(VLOOKUP("8.1",A3:T105,6,FALSE())),ROUND(VLOOKUP("8.1",A3:T105,6,FALSE()),4),0) - IF(ISNUMBER(VLOOKUP("8.3",A3:T105,6,FALSE())),ROUND(VLOOKUP("8.3",A3:T105,6,FALSE()),4),0) &lt;= 0, "Tak", "Nie")</f>
        <v>Tak</v>
      </c>
      <c r="G67" s="19" t="str">
        <f aca="false">IF(IF(ISNUMBER(VLOOKUP("8.1",A3:T105,7,FALSE())),ROUND(VLOOKUP("8.1",A3:T105,7,FALSE()),4),0) - IF(ISNUMBER(VLOOKUP("8.3",A3:T105,7,FALSE())),ROUND(VLOOKUP("8.3",A3:T105,7,FALSE()),4),0) &lt;= 0, "Tak", "Nie")</f>
        <v>Tak</v>
      </c>
      <c r="H67" s="19" t="str">
        <f aca="false">IF(IF(ISNUMBER(VLOOKUP("8.1",A3:T105,8,FALSE())),ROUND(VLOOKUP("8.1",A3:T105,8,FALSE()),4),0) - IF(ISNUMBER(VLOOKUP("8.3",A3:T105,8,FALSE())),ROUND(VLOOKUP("8.3",A3:T105,8,FALSE()),4),0) &lt;= 0, "Tak", "Nie")</f>
        <v>Tak</v>
      </c>
      <c r="I67" s="19" t="str">
        <f aca="false">IF(IF(ISNUMBER(VLOOKUP("8.1",A3:T105,9,FALSE())),ROUND(VLOOKUP("8.1",A3:T105,9,FALSE()),4),0) - IF(ISNUMBER(VLOOKUP("8.3",A3:T105,9,FALSE())),ROUND(VLOOKUP("8.3",A3:T105,9,FALSE()),4),0) &lt;= 0, "Tak", "Nie")</f>
        <v>Tak</v>
      </c>
      <c r="J67" s="19" t="str">
        <f aca="false">IF(IF(ISNUMBER(VLOOKUP("8.1",A3:T105,10,FALSE())),ROUND(VLOOKUP("8.1",A3:T105,10,FALSE()),4),0) - IF(ISNUMBER(VLOOKUP("8.3",A3:T105,10,FALSE())),ROUND(VLOOKUP("8.3",A3:T105,10,FALSE()),4),0) &lt;= 0, "Tak", "Nie")</f>
        <v>Tak</v>
      </c>
      <c r="K67" s="20" t="str">
        <f aca="false">IF(IF(ISNUMBER(VLOOKUP("8.1",A3:T105,11,FALSE())),ROUND(VLOOKUP("8.1",A3:T105,11,FALSE()),4),0) - IF(ISNUMBER(VLOOKUP("8.3",A3:T105,11,FALSE())),ROUND(VLOOKUP("8.3",A3:T105,11,FALSE()),4),0) &lt;= 0, "Tak", "Nie")</f>
        <v>Tak</v>
      </c>
      <c r="L67" s="20" t="str">
        <f aca="false">IF(IF(ISNUMBER(VLOOKUP("8.1",A3:T105,12,FALSE())),ROUND(VLOOKUP("8.1",A3:T105,12,FALSE()),4),0) - IF(ISNUMBER(VLOOKUP("8.3",A3:T105,12,FALSE())),ROUND(VLOOKUP("8.3",A3:T105,12,FALSE()),4),0) &lt;= 0, "Tak", "Nie")</f>
        <v>Tak</v>
      </c>
      <c r="M67" s="20" t="str">
        <f aca="false">IF(IF(ISNUMBER(VLOOKUP("8.1",A3:T105,13,FALSE())),ROUND(VLOOKUP("8.1",A3:T105,13,FALSE()),4),0) - IF(ISNUMBER(VLOOKUP("8.3",A3:T105,13,FALSE())),ROUND(VLOOKUP("8.3",A3:T105,13,FALSE()),4),0) &lt;= 0, "Tak", "Nie")</f>
        <v>Tak</v>
      </c>
      <c r="N67" s="20" t="str">
        <f aca="false">IF(IF(ISNUMBER(VLOOKUP("8.1",A3:T105,14,FALSE())),ROUND(VLOOKUP("8.1",A3:T105,14,FALSE()),4),0) - IF(ISNUMBER(VLOOKUP("8.3",A3:T105,14,FALSE())),ROUND(VLOOKUP("8.3",A3:T105,14,FALSE()),4),0) &lt;= 0, "Tak", "Nie")</f>
        <v>Tak</v>
      </c>
      <c r="O67" s="20" t="str">
        <f aca="false">IF(IF(ISNUMBER(VLOOKUP("8.1",A3:T105,15,FALSE())),ROUND(VLOOKUP("8.1",A3:T105,15,FALSE()),4),0) - IF(ISNUMBER(VLOOKUP("8.3",A3:T105,15,FALSE())),ROUND(VLOOKUP("8.3",A3:T105,15,FALSE()),4),0) &lt;= 0, "Tak", "Nie")</f>
        <v>Tak</v>
      </c>
      <c r="P67" s="20" t="str">
        <f aca="false">IF(IF(ISNUMBER(VLOOKUP("8.1",A3:T105,16,FALSE())),ROUND(VLOOKUP("8.1",A3:T105,16,FALSE()),4),0) - IF(ISNUMBER(VLOOKUP("8.3",A3:T105,16,FALSE())),ROUND(VLOOKUP("8.3",A3:T105,16,FALSE()),4),0) &lt;= 0, "Tak", "Nie")</f>
        <v>Tak</v>
      </c>
      <c r="Q67" s="20" t="str">
        <f aca="false">IF(IF(ISNUMBER(VLOOKUP("8.1",A3:T105,17,FALSE())),ROUND(VLOOKUP("8.1",A3:T105,17,FALSE()),4),0) - IF(ISNUMBER(VLOOKUP("8.3",A3:T105,17,FALSE())),ROUND(VLOOKUP("8.3",A3:T105,17,FALSE()),4),0) &lt;= 0, "Tak", "Nie")</f>
        <v>Tak</v>
      </c>
      <c r="R67" s="20" t="str">
        <f aca="false">IF(IF(ISNUMBER(VLOOKUP("8.1",A3:T105,18,FALSE())),ROUND(VLOOKUP("8.1",A3:T105,18,FALSE()),4),0) - IF(ISNUMBER(VLOOKUP("8.3",A3:T105,18,FALSE())),ROUND(VLOOKUP("8.3",A3:T105,18,FALSE()),4),0) &lt;= 0, "Tak", "Nie")</f>
        <v>Tak</v>
      </c>
      <c r="S67" s="20" t="str">
        <f aca="false">IF(IF(ISNUMBER(VLOOKUP("8.1",A3:T105,19,FALSE())),ROUND(VLOOKUP("8.1",A3:T105,19,FALSE()),4),0) - IF(ISNUMBER(VLOOKUP("8.3",A3:T105,19,FALSE())),ROUND(VLOOKUP("8.3",A3:T105,19,FALSE()),4),0) &lt;= 0, "Tak", "Nie")</f>
        <v>Tak</v>
      </c>
      <c r="T67" s="20" t="str">
        <f aca="false">IF(IF(ISNUMBER(VLOOKUP("8.1",A3:T105,20,FALSE())),ROUND(VLOOKUP("8.1",A3:T105,20,FALSE()),4),0) - IF(ISNUMBER(VLOOKUP("8.3",A3:T105,20,FALSE())),ROUND(VLOOKUP("8.3",A3:T105,20,FALSE()),4),0) &lt;= 0, "Tak", "Nie")</f>
        <v>Tak</v>
      </c>
    </row>
    <row r="68" customFormat="false" ht="78" hidden="false" customHeight="true" outlineLevel="0" collapsed="false">
      <c r="A68" s="7" t="s">
        <v>144</v>
      </c>
      <c r="B68" s="8" t="s">
        <v>145</v>
      </c>
      <c r="C68" s="21" t="str">
        <f aca="false">IF(IF(ISNUMBER(VLOOKUP("8.1",A3:T105,3,FALSE())),ROUND(VLOOKUP("8.1",A3:T105,3,FALSE()),4),0) - IF(ISNUMBER(VLOOKUP("8.3.1",A3:T105,3,FALSE())),ROUND(VLOOKUP("8.3.1",A3:T105,3,FALSE()),4),0) &lt;= 0, "Tak", "Nie")</f>
        <v>Tak</v>
      </c>
      <c r="D68" s="21" t="str">
        <f aca="false">IF(IF(ISNUMBER(VLOOKUP("8.1",A3:T105,4,FALSE())),ROUND(VLOOKUP("8.1",A3:T105,4,FALSE()),4),0) - IF(ISNUMBER(VLOOKUP("8.3.1",A3:T105,4,FALSE())),ROUND(VLOOKUP("8.3.1",A3:T105,4,FALSE()),4),0) &lt;= 0, "Tak", "Nie")</f>
        <v>Tak</v>
      </c>
      <c r="E68" s="21" t="str">
        <f aca="false">IF(IF(ISNUMBER(VLOOKUP("8.1",A3:T105,5,FALSE())),ROUND(VLOOKUP("8.1",A3:T105,5,FALSE()),4),0) - IF(ISNUMBER(VLOOKUP("8.3.1",A3:T105,5,FALSE())),ROUND(VLOOKUP("8.3.1",A3:T105,5,FALSE()),4),0) &lt;= 0, "Tak", "Nie")</f>
        <v>Tak</v>
      </c>
      <c r="F68" s="21" t="str">
        <f aca="false">IF(IF(ISNUMBER(VLOOKUP("8.1",A3:T105,6,FALSE())),ROUND(VLOOKUP("8.1",A3:T105,6,FALSE()),4),0) - IF(ISNUMBER(VLOOKUP("8.3.1",A3:T105,6,FALSE())),ROUND(VLOOKUP("8.3.1",A3:T105,6,FALSE()),4),0) &lt;= 0, "Tak", "Nie")</f>
        <v>Tak</v>
      </c>
      <c r="G68" s="21" t="str">
        <f aca="false">IF(IF(ISNUMBER(VLOOKUP("8.1",A3:T105,7,FALSE())),ROUND(VLOOKUP("8.1",A3:T105,7,FALSE()),4),0) - IF(ISNUMBER(VLOOKUP("8.3.1",A3:T105,7,FALSE())),ROUND(VLOOKUP("8.3.1",A3:T105,7,FALSE()),4),0) &lt;= 0, "Tak", "Nie")</f>
        <v>Tak</v>
      </c>
      <c r="H68" s="21" t="str">
        <f aca="false">IF(IF(ISNUMBER(VLOOKUP("8.1",A3:T105,8,FALSE())),ROUND(VLOOKUP("8.1",A3:T105,8,FALSE()),4),0) - IF(ISNUMBER(VLOOKUP("8.3.1",A3:T105,8,FALSE())),ROUND(VLOOKUP("8.3.1",A3:T105,8,FALSE()),4),0) &lt;= 0, "Tak", "Nie")</f>
        <v>Tak</v>
      </c>
      <c r="I68" s="21" t="str">
        <f aca="false">IF(IF(ISNUMBER(VLOOKUP("8.1",A3:T105,9,FALSE())),ROUND(VLOOKUP("8.1",A3:T105,9,FALSE()),4),0) - IF(ISNUMBER(VLOOKUP("8.3.1",A3:T105,9,FALSE())),ROUND(VLOOKUP("8.3.1",A3:T105,9,FALSE()),4),0) &lt;= 0, "Tak", "Nie")</f>
        <v>Tak</v>
      </c>
      <c r="J68" s="21" t="str">
        <f aca="false">IF(IF(ISNUMBER(VLOOKUP("8.1",A3:T105,10,FALSE())),ROUND(VLOOKUP("8.1",A3:T105,10,FALSE()),4),0) - IF(ISNUMBER(VLOOKUP("8.3.1",A3:T105,10,FALSE())),ROUND(VLOOKUP("8.3.1",A3:T105,10,FALSE()),4),0) &lt;= 0, "Tak", "Nie")</f>
        <v>Tak</v>
      </c>
      <c r="K68" s="20" t="str">
        <f aca="false">IF(IF(ISNUMBER(VLOOKUP("8.1",A3:T105,11,FALSE())),ROUND(VLOOKUP("8.1",A3:T105,11,FALSE()),4),0) - IF(ISNUMBER(VLOOKUP("8.3.1",A3:T105,11,FALSE())),ROUND(VLOOKUP("8.3.1",A3:T105,11,FALSE()),4),0) &lt;= 0, "Tak", "Nie")</f>
        <v>Tak</v>
      </c>
      <c r="L68" s="20" t="str">
        <f aca="false">IF(IF(ISNUMBER(VLOOKUP("8.1",A3:T105,12,FALSE())),ROUND(VLOOKUP("8.1",A3:T105,12,FALSE()),4),0) - IF(ISNUMBER(VLOOKUP("8.3.1",A3:T105,12,FALSE())),ROUND(VLOOKUP("8.3.1",A3:T105,12,FALSE()),4),0) &lt;= 0, "Tak", "Nie")</f>
        <v>Tak</v>
      </c>
      <c r="M68" s="20" t="str">
        <f aca="false">IF(IF(ISNUMBER(VLOOKUP("8.1",A3:T105,13,FALSE())),ROUND(VLOOKUP("8.1",A3:T105,13,FALSE()),4),0) - IF(ISNUMBER(VLOOKUP("8.3.1",A3:T105,13,FALSE())),ROUND(VLOOKUP("8.3.1",A3:T105,13,FALSE()),4),0) &lt;= 0, "Tak", "Nie")</f>
        <v>Tak</v>
      </c>
      <c r="N68" s="20" t="str">
        <f aca="false">IF(IF(ISNUMBER(VLOOKUP("8.1",A3:T105,14,FALSE())),ROUND(VLOOKUP("8.1",A3:T105,14,FALSE()),4),0) - IF(ISNUMBER(VLOOKUP("8.3.1",A3:T105,14,FALSE())),ROUND(VLOOKUP("8.3.1",A3:T105,14,FALSE()),4),0) &lt;= 0, "Tak", "Nie")</f>
        <v>Tak</v>
      </c>
      <c r="O68" s="20" t="str">
        <f aca="false">IF(IF(ISNUMBER(VLOOKUP("8.1",A3:T105,15,FALSE())),ROUND(VLOOKUP("8.1",A3:T105,15,FALSE()),4),0) - IF(ISNUMBER(VLOOKUP("8.3.1",A3:T105,15,FALSE())),ROUND(VLOOKUP("8.3.1",A3:T105,15,FALSE()),4),0) &lt;= 0, "Tak", "Nie")</f>
        <v>Tak</v>
      </c>
      <c r="P68" s="20" t="str">
        <f aca="false">IF(IF(ISNUMBER(VLOOKUP("8.1",A3:T105,16,FALSE())),ROUND(VLOOKUP("8.1",A3:T105,16,FALSE()),4),0) - IF(ISNUMBER(VLOOKUP("8.3.1",A3:T105,16,FALSE())),ROUND(VLOOKUP("8.3.1",A3:T105,16,FALSE()),4),0) &lt;= 0, "Tak", "Nie")</f>
        <v>Tak</v>
      </c>
      <c r="Q68" s="20" t="str">
        <f aca="false">IF(IF(ISNUMBER(VLOOKUP("8.1",A3:T105,17,FALSE())),ROUND(VLOOKUP("8.1",A3:T105,17,FALSE()),4),0) - IF(ISNUMBER(VLOOKUP("8.3.1",A3:T105,17,FALSE())),ROUND(VLOOKUP("8.3.1",A3:T105,17,FALSE()),4),0) &lt;= 0, "Tak", "Nie")</f>
        <v>Tak</v>
      </c>
      <c r="R68" s="20" t="str">
        <f aca="false">IF(IF(ISNUMBER(VLOOKUP("8.1",A3:T105,18,FALSE())),ROUND(VLOOKUP("8.1",A3:T105,18,FALSE()),4),0) - IF(ISNUMBER(VLOOKUP("8.3.1",A3:T105,18,FALSE())),ROUND(VLOOKUP("8.3.1",A3:T105,18,FALSE()),4),0) &lt;= 0, "Tak", "Nie")</f>
        <v>Tak</v>
      </c>
      <c r="S68" s="20" t="str">
        <f aca="false">IF(IF(ISNUMBER(VLOOKUP("8.1",A3:T105,19,FALSE())),ROUND(VLOOKUP("8.1",A3:T105,19,FALSE()),4),0) - IF(ISNUMBER(VLOOKUP("8.3.1",A3:T105,19,FALSE())),ROUND(VLOOKUP("8.3.1",A3:T105,19,FALSE()),4),0) &lt;= 0, "Tak", "Nie")</f>
        <v>Tak</v>
      </c>
      <c r="T68" s="20" t="str">
        <f aca="false">IF(IF(ISNUMBER(VLOOKUP("8.1",A3:T105,20,FALSE())),ROUND(VLOOKUP("8.1",A3:T105,20,FALSE()),4),0) - IF(ISNUMBER(VLOOKUP("8.3.1",A3:T105,20,FALSE())),ROUND(VLOOKUP("8.3.1",A3:T105,20,FALSE()),4),0) &lt;= 0, "Tak", "Nie")</f>
        <v>Tak</v>
      </c>
    </row>
    <row r="69" customFormat="false" ht="56.25" hidden="true" customHeight="false" outlineLevel="0" collapsed="false">
      <c r="A69" s="15" t="s">
        <v>146</v>
      </c>
      <c r="B69" s="16" t="s">
        <v>147</v>
      </c>
      <c r="C69" s="17" t="n">
        <f aca="false">IF(ISNUMBER(VLOOKUP("6",A3:T105,3,FALSE())),ROUND(VLOOKUP("6",A3:T105,3,FALSE()),4),0) / (IF(ISNUMBER(VLOOKUP("1",A3:T105,3,FALSE())),ROUND(VLOOKUP("1",A3:T105,3,FALSE()),4),0) - IF(ISNUMBER(VLOOKUP("1.1.4",A3:T105,3,FALSE())),ROUND(VLOOKUP("1.1.4",A3:T105,3,FALSE()),4),0) - IF(ISNUMBER(VLOOKUP("1.2.2",A3:T105,3,FALSE())),ROUND(VLOOKUP("1.2.2",A3:T105,3,FALSE()),4),0) + (IF(ISNUMBER(VLOOKUP("4.2",A3:T105,3,FALSE())),ROUND(VLOOKUP("4.2",A3:T105,3,FALSE()),4),0) - IF(ISNUMBER(VLOOKUP("4.2.1",A3:T105,3,FALSE())),ROUND(VLOOKUP("4.2.1",A3:T105,3,FALSE()),4),0)) + (IF(ISNUMBER(VLOOKUP("4.3",A3:T105,3,FALSE())),ROUND(VLOOKUP("4.3",A3:T105,3,FALSE()),4),0) - IF(ISNUMBER(VLOOKUP("4.3.1",A3:T105,3,FALSE())),ROUND(VLOOKUP("4.3.1",A3:T105,3,FALSE()),4),0)) + (IF(ISNUMBER(VLOOKUP("4.4",A3:T105,3,FALSE())),ROUND(VLOOKUP("4.4",A3:T105,3,FALSE()),4),0) - IF(ISNUMBER(VLOOKUP("4.4.1",A3:T105,3,FALSE())),ROUND(VLOOKUP("4.4.1",A3:T105,3,FALSE()),4),0)))</f>
        <v>0.40191754043667</v>
      </c>
      <c r="D69" s="17" t="n">
        <f aca="false">IF(ISNUMBER(VLOOKUP("6",A3:T105,4,FALSE())),ROUND(VLOOKUP("6",A3:T105,4,FALSE()),4),0) / (IF(ISNUMBER(VLOOKUP("1",A3:T105,4,FALSE())),ROUND(VLOOKUP("1",A3:T105,4,FALSE()),4),0) - IF(ISNUMBER(VLOOKUP("1.1.4",A3:T105,4,FALSE())),ROUND(VLOOKUP("1.1.4",A3:T105,4,FALSE()),4),0) - IF(ISNUMBER(VLOOKUP("1.2.2",A3:T105,4,FALSE())),ROUND(VLOOKUP("1.2.2",A3:T105,4,FALSE()),4),0) + (IF(ISNUMBER(VLOOKUP("4.2",A3:T105,4,FALSE())),ROUND(VLOOKUP("4.2",A3:T105,4,FALSE()),4),0) - IF(ISNUMBER(VLOOKUP("4.2.1",A3:T105,4,FALSE())),ROUND(VLOOKUP("4.2.1",A3:T105,4,FALSE()),4),0)) + (IF(ISNUMBER(VLOOKUP("4.3",A3:T105,4,FALSE())),ROUND(VLOOKUP("4.3",A3:T105,4,FALSE()),4),0) - IF(ISNUMBER(VLOOKUP("4.3.1",A3:T105,4,FALSE())),ROUND(VLOOKUP("4.3.1",A3:T105,4,FALSE()),4),0)) + (IF(ISNUMBER(VLOOKUP("4.4",A3:T105,4,FALSE())),ROUND(VLOOKUP("4.4",A3:T105,4,FALSE()),4),0) - IF(ISNUMBER(VLOOKUP("4.4.1",A3:T105,4,FALSE())),ROUND(VLOOKUP("4.4.1",A3:T105,4,FALSE()),4),0)))</f>
        <v>0.259966324262858</v>
      </c>
      <c r="E69" s="17" t="n">
        <f aca="false">IF(ISNUMBER(VLOOKUP("6",A3:T105,5,FALSE())),ROUND(VLOOKUP("6",A3:T105,5,FALSE()),4),0) / (IF(ISNUMBER(VLOOKUP("1",A3:T105,5,FALSE())),ROUND(VLOOKUP("1",A3:T105,5,FALSE()),4),0) - IF(ISNUMBER(VLOOKUP("1.1.4",A3:T105,5,FALSE())),ROUND(VLOOKUP("1.1.4",A3:T105,5,FALSE()),4),0) - IF(ISNUMBER(VLOOKUP("1.2.2",A3:T105,5,FALSE())),ROUND(VLOOKUP("1.2.2",A3:T105,5,FALSE()),4),0) + (IF(ISNUMBER(VLOOKUP("4.2",A3:T105,5,FALSE())),ROUND(VLOOKUP("4.2",A3:T105,5,FALSE()),4),0) - IF(ISNUMBER(VLOOKUP("4.2.1",A3:T105,5,FALSE())),ROUND(VLOOKUP("4.2.1",A3:T105,5,FALSE()),4),0)) + (IF(ISNUMBER(VLOOKUP("4.3",A3:T105,5,FALSE())),ROUND(VLOOKUP("4.3",A3:T105,5,FALSE()),4),0) - IF(ISNUMBER(VLOOKUP("4.3.1",A3:T105,5,FALSE())),ROUND(VLOOKUP("4.3.1",A3:T105,5,FALSE()),4),0)) + (IF(ISNUMBER(VLOOKUP("4.4",A3:T105,5,FALSE())),ROUND(VLOOKUP("4.4",A3:T105,5,FALSE()),4),0) - IF(ISNUMBER(VLOOKUP("4.4.1",A3:T105,5,FALSE())),ROUND(VLOOKUP("4.4.1",A3:T105,5,FALSE()),4),0)))</f>
        <v>0.202066438750458</v>
      </c>
      <c r="F69" s="17" t="n">
        <f aca="false">IF(ISNUMBER(VLOOKUP("6",A3:T105,6,FALSE())),ROUND(VLOOKUP("6",A3:T105,6,FALSE()),4),0) / (IF(ISNUMBER(VLOOKUP("1",A3:T105,6,FALSE())),ROUND(VLOOKUP("1",A3:T105,6,FALSE()),4),0) - IF(ISNUMBER(VLOOKUP("1.1.4",A3:T105,6,FALSE())),ROUND(VLOOKUP("1.1.4",A3:T105,6,FALSE()),4),0) - IF(ISNUMBER(VLOOKUP("1.2.2",A3:T105,6,FALSE())),ROUND(VLOOKUP("1.2.2",A3:T105,6,FALSE()),4),0) + (IF(ISNUMBER(VLOOKUP("4.2",A3:T105,6,FALSE())),ROUND(VLOOKUP("4.2",A3:T105,6,FALSE()),4),0) - IF(ISNUMBER(VLOOKUP("4.2.1",A3:T105,6,FALSE())),ROUND(VLOOKUP("4.2.1",A3:T105,6,FALSE()),4),0)) + (IF(ISNUMBER(VLOOKUP("4.3",A3:T105,6,FALSE())),ROUND(VLOOKUP("4.3",A3:T105,6,FALSE()),4),0) - IF(ISNUMBER(VLOOKUP("4.3.1",A3:T105,6,FALSE())),ROUND(VLOOKUP("4.3.1",A3:T105,6,FALSE()),4),0)) + (IF(ISNUMBER(VLOOKUP("4.4",A3:T105,6,FALSE())),ROUND(VLOOKUP("4.4",A3:T105,6,FALSE()),4),0) - IF(ISNUMBER(VLOOKUP("4.4.1",A3:T105,6,FALSE())),ROUND(VLOOKUP("4.4.1",A3:T105,6,FALSE()),4),0)))</f>
        <v>0.14733164296477</v>
      </c>
      <c r="G69" s="17" t="n">
        <f aca="false">IF(ISNUMBER(VLOOKUP("6",A3:T105,7,FALSE())),ROUND(VLOOKUP("6",A3:T105,7,FALSE()),4),0) / (IF(ISNUMBER(VLOOKUP("1",A3:T105,7,FALSE())),ROUND(VLOOKUP("1",A3:T105,7,FALSE()),4),0) - IF(ISNUMBER(VLOOKUP("1.1.4",A3:T105,7,FALSE())),ROUND(VLOOKUP("1.1.4",A3:T105,7,FALSE()),4),0) - IF(ISNUMBER(VLOOKUP("1.2.2",A3:T105,7,FALSE())),ROUND(VLOOKUP("1.2.2",A3:T105,7,FALSE()),4),0) + (IF(ISNUMBER(VLOOKUP("4.2",A3:T105,7,FALSE())),ROUND(VLOOKUP("4.2",A3:T105,7,FALSE()),4),0) - IF(ISNUMBER(VLOOKUP("4.2.1",A3:T105,7,FALSE())),ROUND(VLOOKUP("4.2.1",A3:T105,7,FALSE()),4),0)) + (IF(ISNUMBER(VLOOKUP("4.3",A3:T105,7,FALSE())),ROUND(VLOOKUP("4.3",A3:T105,7,FALSE()),4),0) - IF(ISNUMBER(VLOOKUP("4.3.1",A3:T105,7,FALSE())),ROUND(VLOOKUP("4.3.1",A3:T105,7,FALSE()),4),0)) + (IF(ISNUMBER(VLOOKUP("4.4",A3:T105,7,FALSE())),ROUND(VLOOKUP("4.4",A3:T105,7,FALSE()),4),0) - IF(ISNUMBER(VLOOKUP("4.4.1",A3:T105,7,FALSE())),ROUND(VLOOKUP("4.4.1",A3:T105,7,FALSE()),4),0)))</f>
        <v>0.048638906969673</v>
      </c>
      <c r="H69" s="17" t="n">
        <f aca="false">IF(ISNUMBER(VLOOKUP("6",A3:T105,8,FALSE())),ROUND(VLOOKUP("6",A3:T105,8,FALSE()),4),0) / (IF(ISNUMBER(VLOOKUP("1",A3:T105,8,FALSE())),ROUND(VLOOKUP("1",A3:T105,8,FALSE()),4),0) - IF(ISNUMBER(VLOOKUP("1.1.4",A3:T105,8,FALSE())),ROUND(VLOOKUP("1.1.4",A3:T105,8,FALSE()),4),0) - IF(ISNUMBER(VLOOKUP("1.2.2",A3:T105,8,FALSE())),ROUND(VLOOKUP("1.2.2",A3:T105,8,FALSE()),4),0) + (IF(ISNUMBER(VLOOKUP("4.2",A3:T105,8,FALSE())),ROUND(VLOOKUP("4.2",A3:T105,8,FALSE()),4),0) - IF(ISNUMBER(VLOOKUP("4.2.1",A3:T105,8,FALSE())),ROUND(VLOOKUP("4.2.1",A3:T105,8,FALSE()),4),0)) + (IF(ISNUMBER(VLOOKUP("4.3",A3:T105,8,FALSE())),ROUND(VLOOKUP("4.3",A3:T105,8,FALSE()),4),0) - IF(ISNUMBER(VLOOKUP("4.3.1",A3:T105,8,FALSE())),ROUND(VLOOKUP("4.3.1",A3:T105,8,FALSE()),4),0)) + (IF(ISNUMBER(VLOOKUP("4.4",A3:T105,8,FALSE())),ROUND(VLOOKUP("4.4",A3:T105,8,FALSE()),4),0) - IF(ISNUMBER(VLOOKUP("4.4.1",A3:T105,8,FALSE())),ROUND(VLOOKUP("4.4.1",A3:T105,8,FALSE()),4),0)))</f>
        <v>0.0422321575214583</v>
      </c>
      <c r="I69" s="17" t="n">
        <f aca="false">IF(ISNUMBER(VLOOKUP("6",A3:T105,9,FALSE())),ROUND(VLOOKUP("6",A3:T105,9,FALSE()),4),0) / (IF(ISNUMBER(VLOOKUP("1",A3:T105,9,FALSE())),ROUND(VLOOKUP("1",A3:T105,9,FALSE()),4),0) - IF(ISNUMBER(VLOOKUP("1.1.4",A3:T105,9,FALSE())),ROUND(VLOOKUP("1.1.4",A3:T105,9,FALSE()),4),0) - IF(ISNUMBER(VLOOKUP("1.2.2",A3:T105,9,FALSE())),ROUND(VLOOKUP("1.2.2",A3:T105,9,FALSE()),4),0) + (IF(ISNUMBER(VLOOKUP("4.2",A3:T105,9,FALSE())),ROUND(VLOOKUP("4.2",A3:T105,9,FALSE()),4),0) - IF(ISNUMBER(VLOOKUP("4.2.1",A3:T105,9,FALSE())),ROUND(VLOOKUP("4.2.1",A3:T105,9,FALSE()),4),0)) + (IF(ISNUMBER(VLOOKUP("4.3",A3:T105,9,FALSE())),ROUND(VLOOKUP("4.3",A3:T105,9,FALSE()),4),0) - IF(ISNUMBER(VLOOKUP("4.3.1",A3:T105,9,FALSE())),ROUND(VLOOKUP("4.3.1",A3:T105,9,FALSE()),4),0)) + (IF(ISNUMBER(VLOOKUP("4.4",A3:T105,9,FALSE())),ROUND(VLOOKUP("4.4",A3:T105,9,FALSE()),4),0) - IF(ISNUMBER(VLOOKUP("4.4.1",A3:T105,9,FALSE())),ROUND(VLOOKUP("4.4.1",A3:T105,9,FALSE()),4),0)))</f>
        <v>0.283795843614791</v>
      </c>
      <c r="J69" s="17" t="n">
        <f aca="false">IF(ISNUMBER(VLOOKUP("6",A3:T105,10,FALSE())),ROUND(VLOOKUP("6",A3:T105,10,FALSE()),4),0) / (IF(ISNUMBER(VLOOKUP("1",A3:T105,10,FALSE())),ROUND(VLOOKUP("1",A3:T105,10,FALSE()),4),0) - IF(ISNUMBER(VLOOKUP("1.1.4",A3:T105,10,FALSE())),ROUND(VLOOKUP("1.1.4",A3:T105,10,FALSE()),4),0) - IF(ISNUMBER(VLOOKUP("1.2.2",A3:T105,10,FALSE())),ROUND(VLOOKUP("1.2.2",A3:T105,10,FALSE()),4),0) + (IF(ISNUMBER(VLOOKUP("4.2",A3:T105,10,FALSE())),ROUND(VLOOKUP("4.2",A3:T105,10,FALSE()),4),0) - IF(ISNUMBER(VLOOKUP("4.2.1",A3:T105,10,FALSE())),ROUND(VLOOKUP("4.2.1",A3:T105,10,FALSE()),4),0)) + (IF(ISNUMBER(VLOOKUP("4.3",A3:T105,10,FALSE())),ROUND(VLOOKUP("4.3",A3:T105,10,FALSE()),4),0) - IF(ISNUMBER(VLOOKUP("4.3.1",A3:T105,10,FALSE())),ROUND(VLOOKUP("4.3.1",A3:T105,10,FALSE()),4),0)) + (IF(ISNUMBER(VLOOKUP("4.4",A3:T105,10,FALSE())),ROUND(VLOOKUP("4.4",A3:T105,10,FALSE()),4),0) - IF(ISNUMBER(VLOOKUP("4.4.1",A3:T105,10,FALSE())),ROUND(VLOOKUP("4.4.1",A3:T105,10,FALSE()),4),0)))</f>
        <v>0.22805600364539</v>
      </c>
      <c r="K69" s="18" t="n">
        <f aca="false">IF(ISNUMBER(VLOOKUP("6",A3:T105,11,FALSE())),ROUND(VLOOKUP("6",A3:T105,11,FALSE()),4),0) / (IF(ISNUMBER(VLOOKUP("1",A3:T105,11,FALSE())),ROUND(VLOOKUP("1",A3:T105,11,FALSE()),4),0) - IF(ISNUMBER(VLOOKUP("1.1.4",A3:T105,11,FALSE())),ROUND(VLOOKUP("1.1.4",A3:T105,11,FALSE()),4),0) - IF(ISNUMBER(VLOOKUP("1.2.2",A3:T105,11,FALSE())),ROUND(VLOOKUP("1.2.2",A3:T105,11,FALSE()),4),0) + (IF(ISNUMBER(VLOOKUP("4.2",A3:T105,11,FALSE())),ROUND(VLOOKUP("4.2",A3:T105,11,FALSE()),4),0) - IF(ISNUMBER(VLOOKUP("4.2.1",A3:T105,11,FALSE())),ROUND(VLOOKUP("4.2.1",A3:T105,11,FALSE()),4),0)) + (IF(ISNUMBER(VLOOKUP("4.3",A3:T105,11,FALSE())),ROUND(VLOOKUP("4.3",A3:T105,11,FALSE()),4),0) - IF(ISNUMBER(VLOOKUP("4.3.1",A3:T105,11,FALSE())),ROUND(VLOOKUP("4.3.1",A3:T105,11,FALSE()),4),0)) + (IF(ISNUMBER(VLOOKUP("4.4",A3:T105,11,FALSE())),ROUND(VLOOKUP("4.4",A3:T105,11,FALSE()),4),0) - IF(ISNUMBER(VLOOKUP("4.4.1",A3:T105,11,FALSE())),ROUND(VLOOKUP("4.4.1",A3:T105,11,FALSE()),4),0)))</f>
        <v>0.209414271669416</v>
      </c>
      <c r="L69" s="18" t="n">
        <f aca="false">IF(ISNUMBER(VLOOKUP("6",A3:T105,12,FALSE())),ROUND(VLOOKUP("6",A3:T105,12,FALSE()),4),0) / (IF(ISNUMBER(VLOOKUP("1",A3:T105,12,FALSE())),ROUND(VLOOKUP("1",A3:T105,12,FALSE()),4),0) - IF(ISNUMBER(VLOOKUP("1.1.4",A3:T105,12,FALSE())),ROUND(VLOOKUP("1.1.4",A3:T105,12,FALSE()),4),0) - IF(ISNUMBER(VLOOKUP("1.2.2",A3:T105,12,FALSE())),ROUND(VLOOKUP("1.2.2",A3:T105,12,FALSE()),4),0) + (IF(ISNUMBER(VLOOKUP("4.2",A3:T105,12,FALSE())),ROUND(VLOOKUP("4.2",A3:T105,12,FALSE()),4),0) - IF(ISNUMBER(VLOOKUP("4.2.1",A3:T105,12,FALSE())),ROUND(VLOOKUP("4.2.1",A3:T105,12,FALSE()),4),0)) + (IF(ISNUMBER(VLOOKUP("4.3",A3:T105,12,FALSE())),ROUND(VLOOKUP("4.3",A3:T105,12,FALSE()),4),0) - IF(ISNUMBER(VLOOKUP("4.3.1",A3:T105,12,FALSE())),ROUND(VLOOKUP("4.3.1",A3:T105,12,FALSE()),4),0)) + (IF(ISNUMBER(VLOOKUP("4.4",A3:T105,12,FALSE())),ROUND(VLOOKUP("4.4",A3:T105,12,FALSE()),4),0) - IF(ISNUMBER(VLOOKUP("4.4.1",A3:T105,12,FALSE())),ROUND(VLOOKUP("4.4.1",A3:T105,12,FALSE()),4),0)))</f>
        <v>0.185494332302512</v>
      </c>
      <c r="M69" s="18" t="n">
        <f aca="false">IF(ISNUMBER(VLOOKUP("6",A3:T105,13,FALSE())),ROUND(VLOOKUP("6",A3:T105,13,FALSE()),4),0) / (IF(ISNUMBER(VLOOKUP("1",A3:T105,13,FALSE())),ROUND(VLOOKUP("1",A3:T105,13,FALSE()),4),0) - IF(ISNUMBER(VLOOKUP("1.1.4",A3:T105,13,FALSE())),ROUND(VLOOKUP("1.1.4",A3:T105,13,FALSE()),4),0) - IF(ISNUMBER(VLOOKUP("1.2.2",A3:T105,13,FALSE())),ROUND(VLOOKUP("1.2.2",A3:T105,13,FALSE()),4),0) + (IF(ISNUMBER(VLOOKUP("4.2",A3:T105,13,FALSE())),ROUND(VLOOKUP("4.2",A3:T105,13,FALSE()),4),0) - IF(ISNUMBER(VLOOKUP("4.2.1",A3:T105,13,FALSE())),ROUND(VLOOKUP("4.2.1",A3:T105,13,FALSE()),4),0)) + (IF(ISNUMBER(VLOOKUP("4.3",A3:T105,13,FALSE())),ROUND(VLOOKUP("4.3",A3:T105,13,FALSE()),4),0) - IF(ISNUMBER(VLOOKUP("4.3.1",A3:T105,13,FALSE())),ROUND(VLOOKUP("4.3.1",A3:T105,13,FALSE()),4),0)) + (IF(ISNUMBER(VLOOKUP("4.4",A3:T105,13,FALSE())),ROUND(VLOOKUP("4.4",A3:T105,13,FALSE()),4),0) - IF(ISNUMBER(VLOOKUP("4.4.1",A3:T105,13,FALSE())),ROUND(VLOOKUP("4.4.1",A3:T105,13,FALSE()),4),0)))</f>
        <v>0.153875100323912</v>
      </c>
      <c r="N69" s="18" t="n">
        <f aca="false">IF(ISNUMBER(VLOOKUP("6",A3:T105,14,FALSE())),ROUND(VLOOKUP("6",A3:T105,14,FALSE()),4),0) / (IF(ISNUMBER(VLOOKUP("1",A3:T105,14,FALSE())),ROUND(VLOOKUP("1",A3:T105,14,FALSE()),4),0) - IF(ISNUMBER(VLOOKUP("1.1.4",A3:T105,14,FALSE())),ROUND(VLOOKUP("1.1.4",A3:T105,14,FALSE()),4),0) - IF(ISNUMBER(VLOOKUP("1.2.2",A3:T105,14,FALSE())),ROUND(VLOOKUP("1.2.2",A3:T105,14,FALSE()),4),0) + (IF(ISNUMBER(VLOOKUP("4.2",A3:T105,14,FALSE())),ROUND(VLOOKUP("4.2",A3:T105,14,FALSE()),4),0) - IF(ISNUMBER(VLOOKUP("4.2.1",A3:T105,14,FALSE())),ROUND(VLOOKUP("4.2.1",A3:T105,14,FALSE()),4),0)) + (IF(ISNUMBER(VLOOKUP("4.3",A3:T105,14,FALSE())),ROUND(VLOOKUP("4.3",A3:T105,14,FALSE()),4),0) - IF(ISNUMBER(VLOOKUP("4.3.1",A3:T105,14,FALSE())),ROUND(VLOOKUP("4.3.1",A3:T105,14,FALSE()),4),0)) + (IF(ISNUMBER(VLOOKUP("4.4",A3:T105,14,FALSE())),ROUND(VLOOKUP("4.4",A3:T105,14,FALSE()),4),0) - IF(ISNUMBER(VLOOKUP("4.4.1",A3:T105,14,FALSE())),ROUND(VLOOKUP("4.4.1",A3:T105,14,FALSE()),4),0)))</f>
        <v>0.123965956055928</v>
      </c>
      <c r="O69" s="18" t="n">
        <f aca="false">IF(ISNUMBER(VLOOKUP("6",A3:T105,15,FALSE())),ROUND(VLOOKUP("6",A3:T105,15,FALSE()),4),0) / (IF(ISNUMBER(VLOOKUP("1",A3:T105,15,FALSE())),ROUND(VLOOKUP("1",A3:T105,15,FALSE()),4),0) - IF(ISNUMBER(VLOOKUP("1.1.4",A3:T105,15,FALSE())),ROUND(VLOOKUP("1.1.4",A3:T105,15,FALSE()),4),0) - IF(ISNUMBER(VLOOKUP("1.2.2",A3:T105,15,FALSE())),ROUND(VLOOKUP("1.2.2",A3:T105,15,FALSE()),4),0) + (IF(ISNUMBER(VLOOKUP("4.2",A3:T105,15,FALSE())),ROUND(VLOOKUP("4.2",A3:T105,15,FALSE()),4),0) - IF(ISNUMBER(VLOOKUP("4.2.1",A3:T105,15,FALSE())),ROUND(VLOOKUP("4.2.1",A3:T105,15,FALSE()),4),0)) + (IF(ISNUMBER(VLOOKUP("4.3",A3:T105,15,FALSE())),ROUND(VLOOKUP("4.3",A3:T105,15,FALSE()),4),0) - IF(ISNUMBER(VLOOKUP("4.3.1",A3:T105,15,FALSE())),ROUND(VLOOKUP("4.3.1",A3:T105,15,FALSE()),4),0)) + (IF(ISNUMBER(VLOOKUP("4.4",A3:T105,15,FALSE())),ROUND(VLOOKUP("4.4",A3:T105,15,FALSE()),4),0) - IF(ISNUMBER(VLOOKUP("4.4.1",A3:T105,15,FALSE())),ROUND(VLOOKUP("4.4.1",A3:T105,15,FALSE()),4),0)))</f>
        <v>0.100657403568446</v>
      </c>
      <c r="P69" s="18" t="n">
        <f aca="false">IF(ISNUMBER(VLOOKUP("6",A3:T105,16,FALSE())),ROUND(VLOOKUP("6",A3:T105,16,FALSE()),4),0) / (IF(ISNUMBER(VLOOKUP("1",A3:T105,16,FALSE())),ROUND(VLOOKUP("1",A3:T105,16,FALSE()),4),0) - IF(ISNUMBER(VLOOKUP("1.1.4",A3:T105,16,FALSE())),ROUND(VLOOKUP("1.1.4",A3:T105,16,FALSE()),4),0) - IF(ISNUMBER(VLOOKUP("1.2.2",A3:T105,16,FALSE())),ROUND(VLOOKUP("1.2.2",A3:T105,16,FALSE()),4),0) + (IF(ISNUMBER(VLOOKUP("4.2",A3:T105,16,FALSE())),ROUND(VLOOKUP("4.2",A3:T105,16,FALSE()),4),0) - IF(ISNUMBER(VLOOKUP("4.2.1",A3:T105,16,FALSE())),ROUND(VLOOKUP("4.2.1",A3:T105,16,FALSE()),4),0)) + (IF(ISNUMBER(VLOOKUP("4.3",A3:T105,16,FALSE())),ROUND(VLOOKUP("4.3",A3:T105,16,FALSE()),4),0) - IF(ISNUMBER(VLOOKUP("4.3.1",A3:T105,16,FALSE())),ROUND(VLOOKUP("4.3.1",A3:T105,16,FALSE()),4),0)) + (IF(ISNUMBER(VLOOKUP("4.4",A3:T105,16,FALSE())),ROUND(VLOOKUP("4.4",A3:T105,16,FALSE()),4),0) - IF(ISNUMBER(VLOOKUP("4.4.1",A3:T105,16,FALSE())),ROUND(VLOOKUP("4.4.1",A3:T105,16,FALSE()),4),0)))</f>
        <v>0.0786101258096106</v>
      </c>
      <c r="Q69" s="18" t="n">
        <f aca="false">IF(ISNUMBER(VLOOKUP("6",A3:T105,17,FALSE())),ROUND(VLOOKUP("6",A3:T105,17,FALSE()),4),0) / (IF(ISNUMBER(VLOOKUP("1",A3:T105,17,FALSE())),ROUND(VLOOKUP("1",A3:T105,17,FALSE()),4),0) - IF(ISNUMBER(VLOOKUP("1.1.4",A3:T105,17,FALSE())),ROUND(VLOOKUP("1.1.4",A3:T105,17,FALSE()),4),0) - IF(ISNUMBER(VLOOKUP("1.2.2",A3:T105,17,FALSE())),ROUND(VLOOKUP("1.2.2",A3:T105,17,FALSE()),4),0) + (IF(ISNUMBER(VLOOKUP("4.2",A3:T105,17,FALSE())),ROUND(VLOOKUP("4.2",A3:T105,17,FALSE()),4),0) - IF(ISNUMBER(VLOOKUP("4.2.1",A3:T105,17,FALSE())),ROUND(VLOOKUP("4.2.1",A3:T105,17,FALSE()),4),0)) + (IF(ISNUMBER(VLOOKUP("4.3",A3:T105,17,FALSE())),ROUND(VLOOKUP("4.3",A3:T105,17,FALSE()),4),0) - IF(ISNUMBER(VLOOKUP("4.3.1",A3:T105,17,FALSE())),ROUND(VLOOKUP("4.3.1",A3:T105,17,FALSE()),4),0)) + (IF(ISNUMBER(VLOOKUP("4.4",A3:T105,17,FALSE())),ROUND(VLOOKUP("4.4",A3:T105,17,FALSE()),4),0) - IF(ISNUMBER(VLOOKUP("4.4.1",A3:T105,17,FALSE())),ROUND(VLOOKUP("4.4.1",A3:T105,17,FALSE()),4),0)))</f>
        <v>0.0581115124087692</v>
      </c>
      <c r="R69" s="18" t="n">
        <f aca="false">IF(ISNUMBER(VLOOKUP("6",A3:T105,18,FALSE())),ROUND(VLOOKUP("6",A3:T105,18,FALSE()),4),0) / (IF(ISNUMBER(VLOOKUP("1",A3:T105,18,FALSE())),ROUND(VLOOKUP("1",A3:T105,18,FALSE()),4),0) - IF(ISNUMBER(VLOOKUP("1.1.4",A3:T105,18,FALSE())),ROUND(VLOOKUP("1.1.4",A3:T105,18,FALSE()),4),0) - IF(ISNUMBER(VLOOKUP("1.2.2",A3:T105,18,FALSE())),ROUND(VLOOKUP("1.2.2",A3:T105,18,FALSE()),4),0) + (IF(ISNUMBER(VLOOKUP("4.2",A3:T105,18,FALSE())),ROUND(VLOOKUP("4.2",A3:T105,18,FALSE()),4),0) - IF(ISNUMBER(VLOOKUP("4.2.1",A3:T105,18,FALSE())),ROUND(VLOOKUP("4.2.1",A3:T105,18,FALSE()),4),0)) + (IF(ISNUMBER(VLOOKUP("4.3",A3:T105,18,FALSE())),ROUND(VLOOKUP("4.3",A3:T105,18,FALSE()),4),0) - IF(ISNUMBER(VLOOKUP("4.3.1",A3:T105,18,FALSE())),ROUND(VLOOKUP("4.3.1",A3:T105,18,FALSE()),4),0)) + (IF(ISNUMBER(VLOOKUP("4.4",A3:T105,18,FALSE())),ROUND(VLOOKUP("4.4",A3:T105,18,FALSE()),4),0) - IF(ISNUMBER(VLOOKUP("4.4.1",A3:T105,18,FALSE())),ROUND(VLOOKUP("4.4.1",A3:T105,18,FALSE()),4),0)))</f>
        <v>0.0378095026812136</v>
      </c>
      <c r="S69" s="18" t="n">
        <f aca="false">IF(ISNUMBER(VLOOKUP("6",A3:T105,19,FALSE())),ROUND(VLOOKUP("6",A3:T105,19,FALSE()),4),0) / (IF(ISNUMBER(VLOOKUP("1",A3:T105,19,FALSE())),ROUND(VLOOKUP("1",A3:T105,19,FALSE()),4),0) - IF(ISNUMBER(VLOOKUP("1.1.4",A3:T105,19,FALSE())),ROUND(VLOOKUP("1.1.4",A3:T105,19,FALSE()),4),0) - IF(ISNUMBER(VLOOKUP("1.2.2",A3:T105,19,FALSE())),ROUND(VLOOKUP("1.2.2",A3:T105,19,FALSE()),4),0) + (IF(ISNUMBER(VLOOKUP("4.2",A3:T105,19,FALSE())),ROUND(VLOOKUP("4.2",A3:T105,19,FALSE()),4),0) - IF(ISNUMBER(VLOOKUP("4.2.1",A3:T105,19,FALSE())),ROUND(VLOOKUP("4.2.1",A3:T105,19,FALSE()),4),0)) + (IF(ISNUMBER(VLOOKUP("4.3",A3:T105,19,FALSE())),ROUND(VLOOKUP("4.3",A3:T105,19,FALSE()),4),0) - IF(ISNUMBER(VLOOKUP("4.3.1",A3:T105,19,FALSE())),ROUND(VLOOKUP("4.3.1",A3:T105,19,FALSE()),4),0)) + (IF(ISNUMBER(VLOOKUP("4.4",A3:T105,19,FALSE())),ROUND(VLOOKUP("4.4",A3:T105,19,FALSE()),4),0) - IF(ISNUMBER(VLOOKUP("4.4.1",A3:T105,19,FALSE())),ROUND(VLOOKUP("4.4.1",A3:T105,19,FALSE()),4),0)))</f>
        <v>0.0184500398290235</v>
      </c>
      <c r="T69" s="18" t="n">
        <f aca="false">IF(ISNUMBER(VLOOKUP("6",A3:T105,20,FALSE())),ROUND(VLOOKUP("6",A3:T105,20,FALSE()),4),0) / (IF(ISNUMBER(VLOOKUP("1",A3:T105,20,FALSE())),ROUND(VLOOKUP("1",A3:T105,20,FALSE()),4),0) - IF(ISNUMBER(VLOOKUP("1.1.4",A3:T105,20,FALSE())),ROUND(VLOOKUP("1.1.4",A3:T105,20,FALSE()),4),0) - IF(ISNUMBER(VLOOKUP("1.2.2",A3:T105,20,FALSE())),ROUND(VLOOKUP("1.2.2",A3:T105,20,FALSE()),4),0) + (IF(ISNUMBER(VLOOKUP("4.2",A3:T105,20,FALSE())),ROUND(VLOOKUP("4.2",A3:T105,20,FALSE()),4),0) - IF(ISNUMBER(VLOOKUP("4.2.1",A3:T105,20,FALSE())),ROUND(VLOOKUP("4.2.1",A3:T105,20,FALSE()),4),0)) + (IF(ISNUMBER(VLOOKUP("4.3",A3:T105,20,FALSE())),ROUND(VLOOKUP("4.3",A3:T105,20,FALSE()),4),0) - IF(ISNUMBER(VLOOKUP("4.3.1",A3:T105,20,FALSE())),ROUND(VLOOKUP("4.3.1",A3:T105,20,FALSE()),4),0)) + (IF(ISNUMBER(VLOOKUP("4.4",A3:T105,20,FALSE())),ROUND(VLOOKUP("4.4",A3:T105,20,FALSE()),4),0) - IF(ISNUMBER(VLOOKUP("4.4.1",A3:T105,20,FALSE())),ROUND(VLOOKUP("4.4.1",A3:T105,20,FALSE()),4),0)))</f>
        <v>0</v>
      </c>
    </row>
    <row r="70" customFormat="false" ht="39.75" hidden="false" customHeight="true" outlineLevel="0" collapsed="false">
      <c r="A70" s="3" t="s">
        <v>148</v>
      </c>
      <c r="B70" s="4" t="s">
        <v>149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customFormat="false" ht="39.75" hidden="false" customHeight="true" outlineLevel="0" collapsed="false">
      <c r="A71" s="7" t="s">
        <v>150</v>
      </c>
      <c r="B71" s="8" t="s">
        <v>151</v>
      </c>
      <c r="C71" s="9" t="n">
        <v>77030.69</v>
      </c>
      <c r="D71" s="9" t="n">
        <v>90000</v>
      </c>
      <c r="E71" s="9" t="n">
        <v>0</v>
      </c>
      <c r="F71" s="9" t="n">
        <v>179439.2</v>
      </c>
      <c r="G71" s="9" t="n">
        <v>0</v>
      </c>
      <c r="H71" s="9" t="n">
        <v>4624.8</v>
      </c>
      <c r="I71" s="9" t="n">
        <v>357306.82</v>
      </c>
      <c r="J71" s="9" t="n">
        <v>145795.64</v>
      </c>
      <c r="K71" s="10" t="n">
        <v>90501.31</v>
      </c>
      <c r="L71" s="10" t="n">
        <v>0</v>
      </c>
      <c r="M71" s="10" t="n">
        <v>0</v>
      </c>
      <c r="N71" s="10" t="n">
        <v>0</v>
      </c>
      <c r="O71" s="10" t="n">
        <v>0</v>
      </c>
      <c r="P71" s="10" t="n">
        <v>0</v>
      </c>
      <c r="Q71" s="10" t="n">
        <v>0</v>
      </c>
      <c r="R71" s="10" t="n">
        <v>0</v>
      </c>
      <c r="S71" s="10" t="n">
        <v>0</v>
      </c>
      <c r="T71" s="10" t="n">
        <v>0</v>
      </c>
    </row>
    <row r="72" customFormat="false" ht="52.5" hidden="false" customHeight="true" outlineLevel="0" collapsed="false">
      <c r="A72" s="7" t="s">
        <v>152</v>
      </c>
      <c r="B72" s="8" t="s">
        <v>153</v>
      </c>
      <c r="C72" s="9" t="n">
        <v>77030.69</v>
      </c>
      <c r="D72" s="9" t="n">
        <v>90000</v>
      </c>
      <c r="E72" s="9" t="n">
        <v>0</v>
      </c>
      <c r="F72" s="9" t="n">
        <v>179439.2</v>
      </c>
      <c r="G72" s="9" t="n">
        <v>0</v>
      </c>
      <c r="H72" s="9" t="n">
        <v>4624.8</v>
      </c>
      <c r="I72" s="9" t="n">
        <v>357306.82</v>
      </c>
      <c r="J72" s="9" t="n">
        <v>145795.64</v>
      </c>
      <c r="K72" s="10" t="n">
        <v>90501.31</v>
      </c>
      <c r="L72" s="10" t="n">
        <v>0</v>
      </c>
      <c r="M72" s="10" t="n">
        <v>0</v>
      </c>
      <c r="N72" s="10" t="n">
        <v>0</v>
      </c>
      <c r="O72" s="10" t="n">
        <v>0</v>
      </c>
      <c r="P72" s="10" t="n">
        <v>0</v>
      </c>
      <c r="Q72" s="10" t="n">
        <v>0</v>
      </c>
      <c r="R72" s="10" t="n">
        <v>0</v>
      </c>
      <c r="S72" s="10" t="n">
        <v>0</v>
      </c>
      <c r="T72" s="10" t="n">
        <v>0</v>
      </c>
    </row>
    <row r="73" customFormat="false" ht="14.25" hidden="false" customHeight="true" outlineLevel="0" collapsed="false">
      <c r="A73" s="7" t="s">
        <v>154</v>
      </c>
      <c r="B73" s="8" t="s">
        <v>155</v>
      </c>
      <c r="C73" s="9" t="n">
        <v>77030.69</v>
      </c>
      <c r="D73" s="9" t="n">
        <v>90000</v>
      </c>
      <c r="E73" s="9" t="n">
        <v>0</v>
      </c>
      <c r="F73" s="9" t="n">
        <v>179439.2</v>
      </c>
      <c r="G73" s="9" t="n">
        <v>0</v>
      </c>
      <c r="H73" s="9" t="n">
        <v>3838.58</v>
      </c>
      <c r="I73" s="9" t="n">
        <v>344727.37</v>
      </c>
      <c r="J73" s="9" t="n">
        <v>133216.4</v>
      </c>
      <c r="K73" s="10" t="n">
        <v>90501.31</v>
      </c>
      <c r="L73" s="10" t="n">
        <v>0</v>
      </c>
      <c r="M73" s="10" t="n">
        <v>0</v>
      </c>
      <c r="N73" s="10" t="n">
        <v>0</v>
      </c>
      <c r="O73" s="10" t="n">
        <v>0</v>
      </c>
      <c r="P73" s="10" t="n">
        <v>0</v>
      </c>
      <c r="Q73" s="10" t="n">
        <v>0</v>
      </c>
      <c r="R73" s="10" t="n">
        <v>0</v>
      </c>
      <c r="S73" s="10" t="n">
        <v>0</v>
      </c>
      <c r="T73" s="10" t="n">
        <v>0</v>
      </c>
    </row>
    <row r="74" customFormat="false" ht="39.75" hidden="false" customHeight="true" outlineLevel="0" collapsed="false">
      <c r="A74" s="7" t="s">
        <v>156</v>
      </c>
      <c r="B74" s="8" t="s">
        <v>157</v>
      </c>
      <c r="C74" s="9" t="n">
        <v>3171488.05</v>
      </c>
      <c r="D74" s="9" t="n">
        <v>574861.76</v>
      </c>
      <c r="E74" s="9" t="n">
        <v>120000</v>
      </c>
      <c r="F74" s="9" t="n">
        <v>366329</v>
      </c>
      <c r="G74" s="9" t="n">
        <v>247609.86</v>
      </c>
      <c r="H74" s="9" t="n">
        <v>1521832.39</v>
      </c>
      <c r="I74" s="9" t="n">
        <v>1836813.11</v>
      </c>
      <c r="J74" s="9" t="n">
        <v>993460.77</v>
      </c>
      <c r="K74" s="10" t="n">
        <v>57248.69</v>
      </c>
      <c r="L74" s="10" t="n">
        <v>0</v>
      </c>
      <c r="M74" s="10" t="n">
        <v>0</v>
      </c>
      <c r="N74" s="10" t="n">
        <v>0</v>
      </c>
      <c r="O74" s="10" t="n">
        <v>0</v>
      </c>
      <c r="P74" s="10" t="n">
        <v>0</v>
      </c>
      <c r="Q74" s="10" t="n">
        <v>0</v>
      </c>
      <c r="R74" s="10" t="n">
        <v>0</v>
      </c>
      <c r="S74" s="10" t="n">
        <v>0</v>
      </c>
      <c r="T74" s="10" t="n">
        <v>0</v>
      </c>
    </row>
    <row r="75" customFormat="false" ht="39.75" hidden="false" customHeight="true" outlineLevel="0" collapsed="false">
      <c r="A75" s="7" t="s">
        <v>158</v>
      </c>
      <c r="B75" s="8" t="s">
        <v>159</v>
      </c>
      <c r="C75" s="9" t="n">
        <v>3171488.05</v>
      </c>
      <c r="D75" s="9" t="n">
        <v>574861.76</v>
      </c>
      <c r="E75" s="9" t="n">
        <v>120000</v>
      </c>
      <c r="F75" s="9" t="n">
        <v>366329</v>
      </c>
      <c r="G75" s="9" t="n">
        <v>247609.86</v>
      </c>
      <c r="H75" s="9" t="n">
        <v>1521832.39</v>
      </c>
      <c r="I75" s="9" t="n">
        <v>1836813.11</v>
      </c>
      <c r="J75" s="9" t="n">
        <v>993460.77</v>
      </c>
      <c r="K75" s="10" t="n">
        <v>57248.69</v>
      </c>
      <c r="L75" s="10" t="n">
        <v>0</v>
      </c>
      <c r="M75" s="10" t="n">
        <v>0</v>
      </c>
      <c r="N75" s="10" t="n">
        <v>0</v>
      </c>
      <c r="O75" s="10" t="n">
        <v>0</v>
      </c>
      <c r="P75" s="10" t="n">
        <v>0</v>
      </c>
      <c r="Q75" s="10" t="n">
        <v>0</v>
      </c>
      <c r="R75" s="10" t="n">
        <v>0</v>
      </c>
      <c r="S75" s="10" t="n">
        <v>0</v>
      </c>
      <c r="T75" s="10" t="n">
        <v>0</v>
      </c>
    </row>
    <row r="76" customFormat="false" ht="14.25" hidden="false" customHeight="true" outlineLevel="0" collapsed="false">
      <c r="A76" s="7" t="s">
        <v>160</v>
      </c>
      <c r="B76" s="8" t="s">
        <v>155</v>
      </c>
      <c r="C76" s="9" t="n">
        <v>3171488.05</v>
      </c>
      <c r="D76" s="9" t="n">
        <v>574861.76</v>
      </c>
      <c r="E76" s="9" t="n">
        <v>120000</v>
      </c>
      <c r="F76" s="9" t="n">
        <v>340629.65</v>
      </c>
      <c r="G76" s="9" t="n">
        <v>247609.86</v>
      </c>
      <c r="H76" s="9" t="n">
        <v>1512712.35</v>
      </c>
      <c r="I76" s="9" t="n">
        <v>1826277.75</v>
      </c>
      <c r="J76" s="9" t="n">
        <v>982925.41</v>
      </c>
      <c r="K76" s="10" t="n">
        <v>57248.69</v>
      </c>
      <c r="L76" s="10" t="n">
        <v>0</v>
      </c>
      <c r="M76" s="10" t="n">
        <v>0</v>
      </c>
      <c r="N76" s="10" t="n">
        <v>0</v>
      </c>
      <c r="O76" s="10" t="n">
        <v>0</v>
      </c>
      <c r="P76" s="10" t="n">
        <v>0</v>
      </c>
      <c r="Q76" s="10" t="n">
        <v>0</v>
      </c>
      <c r="R76" s="10" t="n">
        <v>0</v>
      </c>
      <c r="S76" s="10" t="n">
        <v>0</v>
      </c>
      <c r="T76" s="10" t="n">
        <v>0</v>
      </c>
    </row>
    <row r="77" customFormat="false" ht="39.75" hidden="false" customHeight="true" outlineLevel="0" collapsed="false">
      <c r="A77" s="7" t="s">
        <v>161</v>
      </c>
      <c r="B77" s="8" t="s">
        <v>162</v>
      </c>
      <c r="C77" s="9" t="n">
        <v>64906.7</v>
      </c>
      <c r="D77" s="9" t="n">
        <v>90000</v>
      </c>
      <c r="E77" s="9" t="n">
        <v>0</v>
      </c>
      <c r="F77" s="9" t="n">
        <v>179439.2</v>
      </c>
      <c r="G77" s="9" t="n">
        <v>0</v>
      </c>
      <c r="H77" s="9" t="n">
        <v>51297.59</v>
      </c>
      <c r="I77" s="9" t="n">
        <v>432857.52</v>
      </c>
      <c r="J77" s="9" t="n">
        <v>333057.97</v>
      </c>
      <c r="K77" s="10" t="n">
        <v>114550.37</v>
      </c>
      <c r="L77" s="10" t="n">
        <v>0</v>
      </c>
      <c r="M77" s="10" t="n">
        <v>0</v>
      </c>
      <c r="N77" s="10" t="n">
        <v>0</v>
      </c>
      <c r="O77" s="10" t="n">
        <v>0</v>
      </c>
      <c r="P77" s="10" t="n">
        <v>0</v>
      </c>
      <c r="Q77" s="10" t="n">
        <v>0</v>
      </c>
      <c r="R77" s="10" t="n">
        <v>0</v>
      </c>
      <c r="S77" s="10" t="n">
        <v>0</v>
      </c>
      <c r="T77" s="10" t="n">
        <v>0</v>
      </c>
    </row>
    <row r="78" customFormat="false" ht="39.75" hidden="false" customHeight="true" outlineLevel="0" collapsed="false">
      <c r="A78" s="7" t="s">
        <v>163</v>
      </c>
      <c r="B78" s="8" t="s">
        <v>164</v>
      </c>
      <c r="C78" s="9" t="n">
        <v>64906.7</v>
      </c>
      <c r="D78" s="9" t="n">
        <v>90000</v>
      </c>
      <c r="E78" s="9" t="n">
        <v>0</v>
      </c>
      <c r="F78" s="9" t="n">
        <v>179439.2</v>
      </c>
      <c r="G78" s="9" t="n">
        <v>0</v>
      </c>
      <c r="H78" s="9" t="n">
        <v>51297.59</v>
      </c>
      <c r="I78" s="9" t="n">
        <v>432857.52</v>
      </c>
      <c r="J78" s="9" t="n">
        <v>333057.97</v>
      </c>
      <c r="K78" s="10" t="n">
        <v>114550.37</v>
      </c>
      <c r="L78" s="10" t="n">
        <v>0</v>
      </c>
      <c r="M78" s="10" t="n">
        <v>0</v>
      </c>
      <c r="N78" s="10" t="n">
        <v>0</v>
      </c>
      <c r="O78" s="10" t="n">
        <v>0</v>
      </c>
      <c r="P78" s="10" t="n">
        <v>0</v>
      </c>
      <c r="Q78" s="10" t="n">
        <v>0</v>
      </c>
      <c r="R78" s="10" t="n">
        <v>0</v>
      </c>
      <c r="S78" s="10" t="n">
        <v>0</v>
      </c>
      <c r="T78" s="10" t="n">
        <v>0</v>
      </c>
    </row>
    <row r="79" customFormat="false" ht="27" hidden="false" customHeight="true" outlineLevel="0" collapsed="false">
      <c r="A79" s="7" t="s">
        <v>165</v>
      </c>
      <c r="B79" s="8" t="s">
        <v>166</v>
      </c>
      <c r="C79" s="9" t="n">
        <v>64262.99</v>
      </c>
      <c r="D79" s="9" t="n">
        <v>90000</v>
      </c>
      <c r="E79" s="9" t="n">
        <v>0</v>
      </c>
      <c r="F79" s="9" t="n">
        <v>179439.2</v>
      </c>
      <c r="G79" s="9" t="n">
        <v>0</v>
      </c>
      <c r="H79" s="9" t="n">
        <v>40940.61</v>
      </c>
      <c r="I79" s="9" t="n">
        <v>344727.36</v>
      </c>
      <c r="J79" s="9" t="n">
        <v>265905</v>
      </c>
      <c r="K79" s="10" t="n">
        <v>90072.72</v>
      </c>
      <c r="L79" s="10" t="n">
        <v>0</v>
      </c>
      <c r="M79" s="10" t="n">
        <v>0</v>
      </c>
      <c r="N79" s="10" t="n">
        <v>0</v>
      </c>
      <c r="O79" s="10" t="n">
        <v>0</v>
      </c>
      <c r="P79" s="10" t="n">
        <v>0</v>
      </c>
      <c r="Q79" s="10" t="n">
        <v>0</v>
      </c>
      <c r="R79" s="10" t="n">
        <v>0</v>
      </c>
      <c r="S79" s="10" t="n">
        <v>0</v>
      </c>
      <c r="T79" s="10" t="n">
        <v>0</v>
      </c>
    </row>
    <row r="80" customFormat="false" ht="39.75" hidden="false" customHeight="true" outlineLevel="0" collapsed="false">
      <c r="A80" s="7" t="s">
        <v>167</v>
      </c>
      <c r="B80" s="8" t="s">
        <v>168</v>
      </c>
      <c r="C80" s="9" t="n">
        <v>764745.75</v>
      </c>
      <c r="D80" s="9" t="n">
        <v>205596.49</v>
      </c>
      <c r="E80" s="9" t="n">
        <v>577598.06</v>
      </c>
      <c r="F80" s="9" t="n">
        <v>545997.75</v>
      </c>
      <c r="G80" s="9" t="n">
        <v>532562.44</v>
      </c>
      <c r="H80" s="9" t="n">
        <v>1958047.49</v>
      </c>
      <c r="I80" s="9" t="n">
        <v>2272800.92</v>
      </c>
      <c r="J80" s="9" t="n">
        <v>2206726.18</v>
      </c>
      <c r="K80" s="10" t="n">
        <v>0</v>
      </c>
      <c r="L80" s="10" t="n">
        <v>0</v>
      </c>
      <c r="M80" s="10" t="n">
        <v>0</v>
      </c>
      <c r="N80" s="10" t="n">
        <v>0</v>
      </c>
      <c r="O80" s="10" t="n">
        <v>0</v>
      </c>
      <c r="P80" s="10" t="n">
        <v>0</v>
      </c>
      <c r="Q80" s="10" t="n">
        <v>0</v>
      </c>
      <c r="R80" s="10" t="n">
        <v>0</v>
      </c>
      <c r="S80" s="10" t="n">
        <v>0</v>
      </c>
      <c r="T80" s="10" t="n">
        <v>0</v>
      </c>
    </row>
    <row r="81" customFormat="false" ht="39.75" hidden="false" customHeight="true" outlineLevel="0" collapsed="false">
      <c r="A81" s="7" t="s">
        <v>169</v>
      </c>
      <c r="B81" s="8" t="s">
        <v>170</v>
      </c>
      <c r="C81" s="9" t="n">
        <v>764745.75</v>
      </c>
      <c r="D81" s="9" t="n">
        <v>205596.49</v>
      </c>
      <c r="E81" s="9" t="n">
        <v>577598.06</v>
      </c>
      <c r="F81" s="9" t="n">
        <v>545997.75</v>
      </c>
      <c r="G81" s="9" t="n">
        <v>532562.44</v>
      </c>
      <c r="H81" s="9" t="n">
        <v>1958047.49</v>
      </c>
      <c r="I81" s="9" t="n">
        <v>2272800.92</v>
      </c>
      <c r="J81" s="9" t="n">
        <v>2206726.18</v>
      </c>
      <c r="K81" s="10" t="n">
        <v>0</v>
      </c>
      <c r="L81" s="10" t="n">
        <v>0</v>
      </c>
      <c r="M81" s="10" t="n">
        <v>0</v>
      </c>
      <c r="N81" s="10" t="n">
        <v>0</v>
      </c>
      <c r="O81" s="10" t="n">
        <v>0</v>
      </c>
      <c r="P81" s="10" t="n">
        <v>0</v>
      </c>
      <c r="Q81" s="10" t="n">
        <v>0</v>
      </c>
      <c r="R81" s="10" t="n">
        <v>0</v>
      </c>
      <c r="S81" s="10" t="n">
        <v>0</v>
      </c>
      <c r="T81" s="10" t="n">
        <v>0</v>
      </c>
    </row>
    <row r="82" customFormat="false" ht="27" hidden="false" customHeight="true" outlineLevel="0" collapsed="false">
      <c r="A82" s="7" t="s">
        <v>171</v>
      </c>
      <c r="B82" s="8" t="s">
        <v>166</v>
      </c>
      <c r="C82" s="9" t="n">
        <v>486607.72</v>
      </c>
      <c r="D82" s="9" t="n">
        <v>84106</v>
      </c>
      <c r="E82" s="9" t="n">
        <v>297408.94</v>
      </c>
      <c r="F82" s="9" t="n">
        <v>175141.17</v>
      </c>
      <c r="G82" s="9" t="n">
        <v>450642.81</v>
      </c>
      <c r="H82" s="9" t="n">
        <v>1245905.62</v>
      </c>
      <c r="I82" s="9" t="n">
        <v>1870805.41</v>
      </c>
      <c r="J82" s="9" t="n">
        <v>1814978.61</v>
      </c>
      <c r="K82" s="10" t="n">
        <v>0</v>
      </c>
      <c r="L82" s="10" t="n">
        <v>0</v>
      </c>
      <c r="M82" s="10" t="n">
        <v>0</v>
      </c>
      <c r="N82" s="10" t="n">
        <v>0</v>
      </c>
      <c r="O82" s="10" t="n">
        <v>0</v>
      </c>
      <c r="P82" s="10" t="n">
        <v>0</v>
      </c>
      <c r="Q82" s="10" t="n">
        <v>0</v>
      </c>
      <c r="R82" s="10" t="n">
        <v>0</v>
      </c>
      <c r="S82" s="10" t="n">
        <v>0</v>
      </c>
      <c r="T82" s="10" t="n">
        <v>0</v>
      </c>
    </row>
    <row r="83" customFormat="false" ht="27" hidden="false" customHeight="true" outlineLevel="0" collapsed="false">
      <c r="A83" s="3" t="s">
        <v>172</v>
      </c>
      <c r="B83" s="4" t="s">
        <v>173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customFormat="false" ht="27" hidden="false" customHeight="true" outlineLevel="0" collapsed="false">
      <c r="A84" s="7" t="s">
        <v>174</v>
      </c>
      <c r="B84" s="8" t="s">
        <v>175</v>
      </c>
      <c r="C84" s="11" t="n">
        <f aca="false">IF(ISNUMBER(VLOOKUP("10.1.1",A3:T105,3,FALSE())),ROUND(VLOOKUP("10.1.1",A3:T105,3,FALSE()),4),0) + IF(ISNUMBER(VLOOKUP("10.1.2",A3:T105,3,FALSE())),ROUND(VLOOKUP("10.1.2",A3:T105,3,FALSE()),4),0)</f>
        <v>6150</v>
      </c>
      <c r="D84" s="11" t="n">
        <f aca="false">IF(ISNUMBER(VLOOKUP("10.1.1",A3:T105,4,FALSE())),ROUND(VLOOKUP("10.1.1",A3:T105,4,FALSE()),4),0) + IF(ISNUMBER(VLOOKUP("10.1.2",A3:T105,4,FALSE())),ROUND(VLOOKUP("10.1.2",A3:T105,4,FALSE()),4),0)</f>
        <v>154250</v>
      </c>
      <c r="E84" s="11" t="n">
        <f aca="false">IF(ISNUMBER(VLOOKUP("10.1.1",A3:T105,5,FALSE())),ROUND(VLOOKUP("10.1.1",A3:T105,5,FALSE()),4),0) + IF(ISNUMBER(VLOOKUP("10.1.2",A3:T105,5,FALSE())),ROUND(VLOOKUP("10.1.2",A3:T105,5,FALSE()),4),0)</f>
        <v>0</v>
      </c>
      <c r="F84" s="11" t="n">
        <f aca="false">IF(ISNUMBER(VLOOKUP("10.1.1",A3:T105,6,FALSE())),ROUND(VLOOKUP("10.1.1",A3:T105,6,FALSE()),4),0) + IF(ISNUMBER(VLOOKUP("10.1.2",A3:T105,6,FALSE())),ROUND(VLOOKUP("10.1.2",A3:T105,6,FALSE()),4),0)</f>
        <v>262335.09</v>
      </c>
      <c r="G84" s="11" t="n">
        <f aca="false">IF(ISNUMBER(VLOOKUP("10.1.1",A3:T105,7,FALSE())),ROUND(VLOOKUP("10.1.1",A3:T105,7,FALSE()),4),0) + IF(ISNUMBER(VLOOKUP("10.1.2",A3:T105,7,FALSE())),ROUND(VLOOKUP("10.1.2",A3:T105,7,FALSE()),4),0)</f>
        <v>4545000</v>
      </c>
      <c r="H84" s="11" t="n">
        <f aca="false">IF(ISNUMBER(VLOOKUP("10.1.1",A3:T105,8,FALSE())),ROUND(VLOOKUP("10.1.1",A3:T105,8,FALSE()),4),0) + IF(ISNUMBER(VLOOKUP("10.1.2",A3:T105,8,FALSE())),ROUND(VLOOKUP("10.1.2",A3:T105,8,FALSE()),4),0)</f>
        <v>1896765.71</v>
      </c>
      <c r="I84" s="11" t="n">
        <f aca="false">IF(ISNUMBER(VLOOKUP("10.1.1",A3:T105,9,FALSE())),ROUND(VLOOKUP("10.1.1",A3:T105,9,FALSE()),4),0) + IF(ISNUMBER(VLOOKUP("10.1.2",A3:T105,9,FALSE())),ROUND(VLOOKUP("10.1.2",A3:T105,9,FALSE()),4),0)</f>
        <v>5258921.44</v>
      </c>
      <c r="J84" s="11" t="n">
        <f aca="false">IF(ISNUMBER(VLOOKUP("10.1.1",A3:T105,10,FALSE())),ROUND(VLOOKUP("10.1.1",A3:T105,10,FALSE()),4),0) + IF(ISNUMBER(VLOOKUP("10.1.2",A3:T105,10,FALSE())),ROUND(VLOOKUP("10.1.2",A3:T105,10,FALSE()),4),0)</f>
        <v>5258921.44</v>
      </c>
      <c r="K84" s="12" t="n">
        <f aca="false">IF(ISNUMBER(VLOOKUP("10.1.1",A3:T105,11,FALSE())),ROUND(VLOOKUP("10.1.1",A3:T105,11,FALSE()),4),0) + IF(ISNUMBER(VLOOKUP("10.1.2",A3:T105,11,FALSE())),ROUND(VLOOKUP("10.1.2",A3:T105,11,FALSE()),4),0)</f>
        <v>6790645.26</v>
      </c>
      <c r="L84" s="12" t="n">
        <f aca="false">IF(ISNUMBER(VLOOKUP("10.1.1",A3:T105,12,FALSE())),ROUND(VLOOKUP("10.1.1",A3:T105,12,FALSE()),4),0) + IF(ISNUMBER(VLOOKUP("10.1.2",A3:T105,12,FALSE())),ROUND(VLOOKUP("10.1.2",A3:T105,12,FALSE()),4),0)</f>
        <v>1916800</v>
      </c>
      <c r="M84" s="12" t="n">
        <f aca="false">IF(ISNUMBER(VLOOKUP("10.1.1",A3:T105,13,FALSE())),ROUND(VLOOKUP("10.1.1",A3:T105,13,FALSE()),4),0) + IF(ISNUMBER(VLOOKUP("10.1.2",A3:T105,13,FALSE())),ROUND(VLOOKUP("10.1.2",A3:T105,13,FALSE()),4),0)</f>
        <v>0</v>
      </c>
      <c r="N84" s="12" t="n">
        <f aca="false">IF(ISNUMBER(VLOOKUP("10.1.1",A3:T105,14,FALSE())),ROUND(VLOOKUP("10.1.1",A3:T105,14,FALSE()),4),0) + IF(ISNUMBER(VLOOKUP("10.1.2",A3:T105,14,FALSE())),ROUND(VLOOKUP("10.1.2",A3:T105,14,FALSE()),4),0)</f>
        <v>0</v>
      </c>
      <c r="O84" s="12" t="n">
        <f aca="false">IF(ISNUMBER(VLOOKUP("10.1.1",A3:T105,15,FALSE())),ROUND(VLOOKUP("10.1.1",A3:T105,15,FALSE()),4),0) + IF(ISNUMBER(VLOOKUP("10.1.2",A3:T105,15,FALSE())),ROUND(VLOOKUP("10.1.2",A3:T105,15,FALSE()),4),0)</f>
        <v>0</v>
      </c>
      <c r="P84" s="12" t="n">
        <f aca="false">IF(ISNUMBER(VLOOKUP("10.1.1",A3:T105,16,FALSE())),ROUND(VLOOKUP("10.1.1",A3:T105,16,FALSE()),4),0) + IF(ISNUMBER(VLOOKUP("10.1.2",A3:T105,16,FALSE())),ROUND(VLOOKUP("10.1.2",A3:T105,16,FALSE()),4),0)</f>
        <v>0</v>
      </c>
      <c r="Q84" s="12" t="n">
        <f aca="false">IF(ISNUMBER(VLOOKUP("10.1.1",A3:T105,17,FALSE())),ROUND(VLOOKUP("10.1.1",A3:T105,17,FALSE()),4),0) + IF(ISNUMBER(VLOOKUP("10.1.2",A3:T105,17,FALSE())),ROUND(VLOOKUP("10.1.2",A3:T105,17,FALSE()),4),0)</f>
        <v>0</v>
      </c>
      <c r="R84" s="12" t="n">
        <f aca="false">IF(ISNUMBER(VLOOKUP("10.1.1",A3:T105,18,FALSE())),ROUND(VLOOKUP("10.1.1",A3:T105,18,FALSE()),4),0) + IF(ISNUMBER(VLOOKUP("10.1.2",A3:T105,18,FALSE())),ROUND(VLOOKUP("10.1.2",A3:T105,18,FALSE()),4),0)</f>
        <v>0</v>
      </c>
      <c r="S84" s="12" t="n">
        <f aca="false">IF(ISNUMBER(VLOOKUP("10.1.1",A3:T105,19,FALSE())),ROUND(VLOOKUP("10.1.1",A3:T105,19,FALSE()),4),0) + IF(ISNUMBER(VLOOKUP("10.1.2",A3:T105,19,FALSE())),ROUND(VLOOKUP("10.1.2",A3:T105,19,FALSE()),4),0)</f>
        <v>0</v>
      </c>
      <c r="T84" s="12" t="n">
        <f aca="false">IF(ISNUMBER(VLOOKUP("10.1.1",A3:T105,20,FALSE())),ROUND(VLOOKUP("10.1.1",A3:T105,20,FALSE()),4),0) + IF(ISNUMBER(VLOOKUP("10.1.2",A3:T105,20,FALSE())),ROUND(VLOOKUP("10.1.2",A3:T105,20,FALSE()),4),0)</f>
        <v>0</v>
      </c>
    </row>
    <row r="85" customFormat="false" ht="14.25" hidden="false" customHeight="true" outlineLevel="0" collapsed="false">
      <c r="A85" s="7" t="s">
        <v>176</v>
      </c>
      <c r="B85" s="8" t="s">
        <v>177</v>
      </c>
      <c r="C85" s="11" t="n">
        <v>0</v>
      </c>
      <c r="D85" s="11" t="n">
        <v>0</v>
      </c>
      <c r="E85" s="11" t="n">
        <v>0</v>
      </c>
      <c r="F85" s="11" t="n">
        <v>0</v>
      </c>
      <c r="G85" s="11" t="n">
        <v>0</v>
      </c>
      <c r="H85" s="11" t="n">
        <v>51297.59</v>
      </c>
      <c r="I85" s="11" t="n">
        <v>125212.32</v>
      </c>
      <c r="J85" s="11" t="n">
        <v>125212.32</v>
      </c>
      <c r="K85" s="12" t="n">
        <v>32645.26</v>
      </c>
      <c r="L85" s="12" t="n">
        <v>0</v>
      </c>
      <c r="M85" s="12" t="n">
        <v>0</v>
      </c>
      <c r="N85" s="12" t="n">
        <v>0</v>
      </c>
      <c r="O85" s="12" t="n">
        <v>0</v>
      </c>
      <c r="P85" s="12" t="n">
        <v>0</v>
      </c>
      <c r="Q85" s="12" t="n">
        <v>0</v>
      </c>
      <c r="R85" s="12" t="n">
        <v>0</v>
      </c>
      <c r="S85" s="12" t="n">
        <v>0</v>
      </c>
      <c r="T85" s="12" t="n">
        <v>0</v>
      </c>
    </row>
    <row r="86" customFormat="false" ht="14.25" hidden="false" customHeight="true" outlineLevel="0" collapsed="false">
      <c r="A86" s="7" t="s">
        <v>178</v>
      </c>
      <c r="B86" s="8" t="s">
        <v>179</v>
      </c>
      <c r="C86" s="11" t="n">
        <v>6150</v>
      </c>
      <c r="D86" s="11" t="n">
        <v>154250</v>
      </c>
      <c r="E86" s="11" t="n">
        <v>0</v>
      </c>
      <c r="F86" s="11" t="n">
        <v>262335.09</v>
      </c>
      <c r="G86" s="11" t="n">
        <v>4545000</v>
      </c>
      <c r="H86" s="11" t="n">
        <v>1845468.12</v>
      </c>
      <c r="I86" s="11" t="n">
        <v>5133709.12</v>
      </c>
      <c r="J86" s="11" t="n">
        <v>5133709.12</v>
      </c>
      <c r="K86" s="12" t="n">
        <v>6758000</v>
      </c>
      <c r="L86" s="12" t="n">
        <v>1916800</v>
      </c>
      <c r="M86" s="12" t="n">
        <v>0</v>
      </c>
      <c r="N86" s="12" t="n">
        <v>0</v>
      </c>
      <c r="O86" s="12" t="n">
        <v>0</v>
      </c>
      <c r="P86" s="12" t="n">
        <v>0</v>
      </c>
      <c r="Q86" s="12" t="n">
        <v>0</v>
      </c>
      <c r="R86" s="12" t="n">
        <v>0</v>
      </c>
      <c r="S86" s="12" t="n">
        <v>0</v>
      </c>
      <c r="T86" s="12" t="n">
        <v>0</v>
      </c>
    </row>
    <row r="87" customFormat="false" ht="27" hidden="false" customHeight="true" outlineLevel="0" collapsed="false">
      <c r="A87" s="7" t="s">
        <v>180</v>
      </c>
      <c r="B87" s="8" t="s">
        <v>181</v>
      </c>
      <c r="C87" s="9" t="n">
        <v>0</v>
      </c>
      <c r="D87" s="9" t="n">
        <v>0</v>
      </c>
      <c r="E87" s="9" t="n">
        <v>0</v>
      </c>
      <c r="F87" s="9" t="n">
        <v>0</v>
      </c>
      <c r="G87" s="9" t="n">
        <v>0</v>
      </c>
      <c r="H87" s="9" t="n">
        <v>0</v>
      </c>
      <c r="I87" s="9" t="n">
        <v>0</v>
      </c>
      <c r="J87" s="9" t="n">
        <v>0</v>
      </c>
      <c r="K87" s="10" t="n">
        <v>0</v>
      </c>
      <c r="L87" s="10" t="n">
        <v>0</v>
      </c>
      <c r="M87" s="10" t="n">
        <v>0</v>
      </c>
      <c r="N87" s="10" t="n">
        <v>0</v>
      </c>
      <c r="O87" s="10" t="n">
        <v>0</v>
      </c>
      <c r="P87" s="10" t="n">
        <v>0</v>
      </c>
      <c r="Q87" s="10" t="n">
        <v>0</v>
      </c>
      <c r="R87" s="10" t="n">
        <v>0</v>
      </c>
      <c r="S87" s="10" t="n">
        <v>0</v>
      </c>
      <c r="T87" s="10" t="n">
        <v>0</v>
      </c>
    </row>
    <row r="88" customFormat="false" ht="39.75" hidden="false" customHeight="true" outlineLevel="0" collapsed="false">
      <c r="A88" s="7" t="s">
        <v>182</v>
      </c>
      <c r="B88" s="8" t="s">
        <v>183</v>
      </c>
      <c r="C88" s="9" t="n">
        <v>0</v>
      </c>
      <c r="D88" s="9" t="n">
        <v>0</v>
      </c>
      <c r="E88" s="9" t="n">
        <v>0</v>
      </c>
      <c r="F88" s="9" t="n">
        <v>0</v>
      </c>
      <c r="G88" s="9" t="n">
        <v>0</v>
      </c>
      <c r="H88" s="9" t="n">
        <v>0</v>
      </c>
      <c r="I88" s="9" t="n">
        <v>0</v>
      </c>
      <c r="J88" s="9" t="n">
        <v>0</v>
      </c>
      <c r="K88" s="10" t="n">
        <v>0</v>
      </c>
      <c r="L88" s="10" t="n">
        <v>0</v>
      </c>
      <c r="M88" s="10" t="n">
        <v>0</v>
      </c>
      <c r="N88" s="10" t="n">
        <v>0</v>
      </c>
      <c r="O88" s="10" t="n">
        <v>0</v>
      </c>
      <c r="P88" s="10" t="n">
        <v>0</v>
      </c>
      <c r="Q88" s="10" t="n">
        <v>0</v>
      </c>
      <c r="R88" s="10" t="n">
        <v>0</v>
      </c>
      <c r="S88" s="10" t="n">
        <v>0</v>
      </c>
      <c r="T88" s="10" t="n">
        <v>0</v>
      </c>
    </row>
    <row r="89" customFormat="false" ht="52.5" hidden="false" customHeight="true" outlineLevel="0" collapsed="false">
      <c r="A89" s="7" t="s">
        <v>184</v>
      </c>
      <c r="B89" s="8" t="s">
        <v>185</v>
      </c>
      <c r="C89" s="9" t="n">
        <v>0</v>
      </c>
      <c r="D89" s="9" t="n">
        <v>0</v>
      </c>
      <c r="E89" s="9" t="n">
        <v>0</v>
      </c>
      <c r="F89" s="9" t="n">
        <v>0</v>
      </c>
      <c r="G89" s="9" t="n">
        <v>0</v>
      </c>
      <c r="H89" s="9" t="n">
        <v>0</v>
      </c>
      <c r="I89" s="9" t="n">
        <v>0</v>
      </c>
      <c r="J89" s="9" t="n">
        <v>0</v>
      </c>
      <c r="K89" s="10" t="n">
        <v>0</v>
      </c>
      <c r="L89" s="10" t="n">
        <v>0</v>
      </c>
      <c r="M89" s="10" t="n">
        <v>0</v>
      </c>
      <c r="N89" s="10" t="n">
        <v>0</v>
      </c>
      <c r="O89" s="10" t="n">
        <v>0</v>
      </c>
      <c r="P89" s="10" t="n">
        <v>0</v>
      </c>
      <c r="Q89" s="10" t="n">
        <v>0</v>
      </c>
      <c r="R89" s="10" t="n">
        <v>0</v>
      </c>
      <c r="S89" s="10" t="n">
        <v>0</v>
      </c>
      <c r="T89" s="10" t="n">
        <v>0</v>
      </c>
    </row>
    <row r="90" customFormat="false" ht="39.75" hidden="false" customHeight="true" outlineLevel="0" collapsed="false">
      <c r="A90" s="7" t="s">
        <v>186</v>
      </c>
      <c r="B90" s="8" t="s">
        <v>187</v>
      </c>
      <c r="C90" s="9" t="n">
        <v>0</v>
      </c>
      <c r="D90" s="9" t="n">
        <v>0</v>
      </c>
      <c r="E90" s="9" t="n">
        <v>0</v>
      </c>
      <c r="F90" s="9" t="n">
        <v>0</v>
      </c>
      <c r="G90" s="9" t="n">
        <v>0</v>
      </c>
      <c r="H90" s="9" t="n">
        <v>0</v>
      </c>
      <c r="I90" s="9" t="n">
        <v>0</v>
      </c>
      <c r="J90" s="9" t="n">
        <v>0</v>
      </c>
      <c r="K90" s="10" t="n">
        <v>0</v>
      </c>
      <c r="L90" s="10" t="n">
        <v>0</v>
      </c>
      <c r="M90" s="10" t="n">
        <v>0</v>
      </c>
      <c r="N90" s="10" t="n">
        <v>0</v>
      </c>
      <c r="O90" s="10" t="n">
        <v>0</v>
      </c>
      <c r="P90" s="10" t="n">
        <v>0</v>
      </c>
      <c r="Q90" s="10" t="n">
        <v>0</v>
      </c>
      <c r="R90" s="10" t="n">
        <v>0</v>
      </c>
      <c r="S90" s="10" t="n">
        <v>0</v>
      </c>
      <c r="T90" s="10" t="n">
        <v>0</v>
      </c>
    </row>
    <row r="91" customFormat="false" ht="27" hidden="false" customHeight="true" outlineLevel="0" collapsed="false">
      <c r="A91" s="7" t="s">
        <v>188</v>
      </c>
      <c r="B91" s="8" t="s">
        <v>189</v>
      </c>
      <c r="C91" s="11" t="n">
        <v>406500</v>
      </c>
      <c r="D91" s="11" t="n">
        <v>806500</v>
      </c>
      <c r="E91" s="11" t="n">
        <v>580500</v>
      </c>
      <c r="F91" s="11" t="n">
        <v>400000</v>
      </c>
      <c r="G91" s="11" t="n">
        <v>1800000</v>
      </c>
      <c r="H91" s="11" t="n">
        <v>200000</v>
      </c>
      <c r="I91" s="11" t="n">
        <v>200000</v>
      </c>
      <c r="J91" s="11" t="n">
        <v>200000</v>
      </c>
      <c r="K91" s="12" t="n">
        <v>600000</v>
      </c>
      <c r="L91" s="12" t="n">
        <v>600000</v>
      </c>
      <c r="M91" s="12" t="n">
        <v>500000</v>
      </c>
      <c r="N91" s="12" t="n">
        <v>500000</v>
      </c>
      <c r="O91" s="12" t="n">
        <v>400000</v>
      </c>
      <c r="P91" s="12" t="n">
        <v>400000</v>
      </c>
      <c r="Q91" s="12" t="n">
        <v>400000</v>
      </c>
      <c r="R91" s="12" t="n">
        <v>400000</v>
      </c>
      <c r="S91" s="12" t="n">
        <v>400000</v>
      </c>
      <c r="T91" s="12" t="n">
        <v>400000</v>
      </c>
    </row>
    <row r="92" customFormat="false" ht="14.25" hidden="false" customHeight="true" outlineLevel="0" collapsed="false">
      <c r="A92" s="7" t="s">
        <v>190</v>
      </c>
      <c r="B92" s="8" t="s">
        <v>191</v>
      </c>
      <c r="C92" s="11" t="n">
        <f aca="false">IF(ISNUMBER(VLOOKUP("10.7.1",A3:T105,3,FALSE())),ROUND(VLOOKUP("10.7.1",A3:T105,3,FALSE()),4),0) + IF(ISNUMBER(VLOOKUP("10.7.2",A3:T105,3,FALSE())),ROUND(VLOOKUP("10.7.2",A3:T105,3,FALSE()),4),0) + IF(ISNUMBER(VLOOKUP("10.7.3",A3:T105,3,FALSE())),ROUND(VLOOKUP("10.7.3",A3:T105,3,FALSE()),4),0)</f>
        <v>0</v>
      </c>
      <c r="D92" s="11" t="n">
        <f aca="false">IF(ISNUMBER(VLOOKUP("10.7.1",A3:T105,4,FALSE())),ROUND(VLOOKUP("10.7.1",A3:T105,4,FALSE()),4),0) + IF(ISNUMBER(VLOOKUP("10.7.2",A3:T105,4,FALSE())),ROUND(VLOOKUP("10.7.2",A3:T105,4,FALSE()),4),0) + IF(ISNUMBER(VLOOKUP("10.7.3",A3:T105,4,FALSE())),ROUND(VLOOKUP("10.7.3",A3:T105,4,FALSE()),4),0)</f>
        <v>0</v>
      </c>
      <c r="E92" s="11" t="n">
        <f aca="false">IF(ISNUMBER(VLOOKUP("10.7.1",A3:T105,5,FALSE())),ROUND(VLOOKUP("10.7.1",A3:T105,5,FALSE()),4),0) + IF(ISNUMBER(VLOOKUP("10.7.2",A3:T105,5,FALSE())),ROUND(VLOOKUP("10.7.2",A3:T105,5,FALSE()),4),0) + IF(ISNUMBER(VLOOKUP("10.7.3",A3:T105,5,FALSE())),ROUND(VLOOKUP("10.7.3",A3:T105,5,FALSE()),4),0)</f>
        <v>0</v>
      </c>
      <c r="F92" s="11" t="n">
        <f aca="false">IF(ISNUMBER(VLOOKUP("10.7.1",A3:T105,6,FALSE())),ROUND(VLOOKUP("10.7.1",A3:T105,6,FALSE()),4),0) + IF(ISNUMBER(VLOOKUP("10.7.2",A3:T105,6,FALSE())),ROUND(VLOOKUP("10.7.2",A3:T105,6,FALSE()),4),0) + IF(ISNUMBER(VLOOKUP("10.7.3",A3:T105,6,FALSE())),ROUND(VLOOKUP("10.7.3",A3:T105,6,FALSE()),4),0)</f>
        <v>0</v>
      </c>
      <c r="G92" s="11" t="n">
        <f aca="false">IF(ISNUMBER(VLOOKUP("10.7.1",A3:T105,7,FALSE())),ROUND(VLOOKUP("10.7.1",A3:T105,7,FALSE()),4),0) + IF(ISNUMBER(VLOOKUP("10.7.2",A3:T105,7,FALSE())),ROUND(VLOOKUP("10.7.2",A3:T105,7,FALSE()),4),0) + IF(ISNUMBER(VLOOKUP("10.7.3",A3:T105,7,FALSE())),ROUND(VLOOKUP("10.7.3",A3:T105,7,FALSE()),4),0)</f>
        <v>0</v>
      </c>
      <c r="H92" s="11" t="n">
        <f aca="false">IF(ISNUMBER(VLOOKUP("10.7.1",A3:T105,8,FALSE())),ROUND(VLOOKUP("10.7.1",A3:T105,8,FALSE()),4),0) + IF(ISNUMBER(VLOOKUP("10.7.2",A3:T105,8,FALSE())),ROUND(VLOOKUP("10.7.2",A3:T105,8,FALSE()),4),0) + IF(ISNUMBER(VLOOKUP("10.7.3",A3:T105,8,FALSE())),ROUND(VLOOKUP("10.7.3",A3:T105,8,FALSE()),4),0)</f>
        <v>0</v>
      </c>
      <c r="I92" s="11" t="n">
        <f aca="false">IF(ISNUMBER(VLOOKUP("10.7.1",A3:T105,9,FALSE())),ROUND(VLOOKUP("10.7.1",A3:T105,9,FALSE()),4),0) + IF(ISNUMBER(VLOOKUP("10.7.2",A3:T105,9,FALSE())),ROUND(VLOOKUP("10.7.2",A3:T105,9,FALSE()),4),0) + IF(ISNUMBER(VLOOKUP("10.7.3",A3:T105,9,FALSE())),ROUND(VLOOKUP("10.7.3",A3:T105,9,FALSE()),4),0)</f>
        <v>0</v>
      </c>
      <c r="J92" s="11" t="n">
        <f aca="false">IF(ISNUMBER(VLOOKUP("10.7.1",A3:T105,10,FALSE())),ROUND(VLOOKUP("10.7.1",A3:T105,10,FALSE()),4),0) + IF(ISNUMBER(VLOOKUP("10.7.2",A3:T105,10,FALSE())),ROUND(VLOOKUP("10.7.2",A3:T105,10,FALSE()),4),0) + IF(ISNUMBER(VLOOKUP("10.7.3",A3:T105,10,FALSE())),ROUND(VLOOKUP("10.7.3",A3:T105,10,FALSE()),4),0)</f>
        <v>0</v>
      </c>
      <c r="K92" s="12" t="n">
        <f aca="false">IF(ISNUMBER(VLOOKUP("10.7.1",A3:T105,11,FALSE())),ROUND(VLOOKUP("10.7.1",A3:T105,11,FALSE()),4),0) + IF(ISNUMBER(VLOOKUP("10.7.2",A3:T105,11,FALSE())),ROUND(VLOOKUP("10.7.2",A3:T105,11,FALSE()),4),0) + IF(ISNUMBER(VLOOKUP("10.7.3",A3:T105,11,FALSE())),ROUND(VLOOKUP("10.7.3",A3:T105,11,FALSE()),4),0)</f>
        <v>0</v>
      </c>
      <c r="L92" s="12" t="n">
        <f aca="false">IF(ISNUMBER(VLOOKUP("10.7.1",A3:T105,12,FALSE())),ROUND(VLOOKUP("10.7.1",A3:T105,12,FALSE()),4),0) + IF(ISNUMBER(VLOOKUP("10.7.2",A3:T105,12,FALSE())),ROUND(VLOOKUP("10.7.2",A3:T105,12,FALSE()),4),0) + IF(ISNUMBER(VLOOKUP("10.7.3",A3:T105,12,FALSE())),ROUND(VLOOKUP("10.7.3",A3:T105,12,FALSE()),4),0)</f>
        <v>0</v>
      </c>
      <c r="M92" s="12" t="n">
        <f aca="false">IF(ISNUMBER(VLOOKUP("10.7.1",A3:T105,13,FALSE())),ROUND(VLOOKUP("10.7.1",A3:T105,13,FALSE()),4),0) + IF(ISNUMBER(VLOOKUP("10.7.2",A3:T105,13,FALSE())),ROUND(VLOOKUP("10.7.2",A3:T105,13,FALSE()),4),0) + IF(ISNUMBER(VLOOKUP("10.7.3",A3:T105,13,FALSE())),ROUND(VLOOKUP("10.7.3",A3:T105,13,FALSE()),4),0)</f>
        <v>0</v>
      </c>
      <c r="N92" s="12" t="n">
        <f aca="false">IF(ISNUMBER(VLOOKUP("10.7.1",A3:T105,14,FALSE())),ROUND(VLOOKUP("10.7.1",A3:T105,14,FALSE()),4),0) + IF(ISNUMBER(VLOOKUP("10.7.2",A3:T105,14,FALSE())),ROUND(VLOOKUP("10.7.2",A3:T105,14,FALSE()),4),0) + IF(ISNUMBER(VLOOKUP("10.7.3",A3:T105,14,FALSE())),ROUND(VLOOKUP("10.7.3",A3:T105,14,FALSE()),4),0)</f>
        <v>0</v>
      </c>
      <c r="O92" s="12" t="n">
        <f aca="false">IF(ISNUMBER(VLOOKUP("10.7.1",A3:T105,15,FALSE())),ROUND(VLOOKUP("10.7.1",A3:T105,15,FALSE()),4),0) + IF(ISNUMBER(VLOOKUP("10.7.2",A3:T105,15,FALSE())),ROUND(VLOOKUP("10.7.2",A3:T105,15,FALSE()),4),0) + IF(ISNUMBER(VLOOKUP("10.7.3",A3:T105,15,FALSE())),ROUND(VLOOKUP("10.7.3",A3:T105,15,FALSE()),4),0)</f>
        <v>0</v>
      </c>
      <c r="P92" s="12" t="n">
        <f aca="false">IF(ISNUMBER(VLOOKUP("10.7.1",A3:T105,16,FALSE())),ROUND(VLOOKUP("10.7.1",A3:T105,16,FALSE()),4),0) + IF(ISNUMBER(VLOOKUP("10.7.2",A3:T105,16,FALSE())),ROUND(VLOOKUP("10.7.2",A3:T105,16,FALSE()),4),0) + IF(ISNUMBER(VLOOKUP("10.7.3",A3:T105,16,FALSE())),ROUND(VLOOKUP("10.7.3",A3:T105,16,FALSE()),4),0)</f>
        <v>0</v>
      </c>
      <c r="Q92" s="12" t="n">
        <f aca="false">IF(ISNUMBER(VLOOKUP("10.7.1",A3:T105,17,FALSE())),ROUND(VLOOKUP("10.7.1",A3:T105,17,FALSE()),4),0) + IF(ISNUMBER(VLOOKUP("10.7.2",A3:T105,17,FALSE())),ROUND(VLOOKUP("10.7.2",A3:T105,17,FALSE()),4),0) + IF(ISNUMBER(VLOOKUP("10.7.3",A3:T105,17,FALSE())),ROUND(VLOOKUP("10.7.3",A3:T105,17,FALSE()),4),0)</f>
        <v>0</v>
      </c>
      <c r="R92" s="12" t="n">
        <f aca="false">IF(ISNUMBER(VLOOKUP("10.7.1",A3:T105,18,FALSE())),ROUND(VLOOKUP("10.7.1",A3:T105,18,FALSE()),4),0) + IF(ISNUMBER(VLOOKUP("10.7.2",A3:T105,18,FALSE())),ROUND(VLOOKUP("10.7.2",A3:T105,18,FALSE()),4),0) + IF(ISNUMBER(VLOOKUP("10.7.3",A3:T105,18,FALSE())),ROUND(VLOOKUP("10.7.3",A3:T105,18,FALSE()),4),0)</f>
        <v>0</v>
      </c>
      <c r="S92" s="12" t="n">
        <f aca="false">IF(ISNUMBER(VLOOKUP("10.7.1",A3:T105,19,FALSE())),ROUND(VLOOKUP("10.7.1",A3:T105,19,FALSE()),4),0) + IF(ISNUMBER(VLOOKUP("10.7.2",A3:T105,19,FALSE())),ROUND(VLOOKUP("10.7.2",A3:T105,19,FALSE()),4),0) + IF(ISNUMBER(VLOOKUP("10.7.3",A3:T105,19,FALSE())),ROUND(VLOOKUP("10.7.3",A3:T105,19,FALSE()),4),0)</f>
        <v>0</v>
      </c>
      <c r="T92" s="12" t="n">
        <f aca="false">IF(ISNUMBER(VLOOKUP("10.7.1",A3:T105,20,FALSE())),ROUND(VLOOKUP("10.7.1",A3:T105,20,FALSE()),4),0) + IF(ISNUMBER(VLOOKUP("10.7.2",A3:T105,20,FALSE())),ROUND(VLOOKUP("10.7.2",A3:T105,20,FALSE()),4),0) + IF(ISNUMBER(VLOOKUP("10.7.3",A3:T105,20,FALSE())),ROUND(VLOOKUP("10.7.3",A3:T105,20,FALSE()),4),0)</f>
        <v>0</v>
      </c>
    </row>
    <row r="93" customFormat="false" ht="27" hidden="false" customHeight="true" outlineLevel="0" collapsed="false">
      <c r="A93" s="7" t="s">
        <v>192</v>
      </c>
      <c r="B93" s="8" t="s">
        <v>193</v>
      </c>
      <c r="C93" s="11" t="n">
        <v>0</v>
      </c>
      <c r="D93" s="11" t="n">
        <v>0</v>
      </c>
      <c r="E93" s="11" t="n">
        <v>0</v>
      </c>
      <c r="F93" s="11" t="n">
        <v>0</v>
      </c>
      <c r="G93" s="11" t="n">
        <v>0</v>
      </c>
      <c r="H93" s="11" t="n">
        <v>0</v>
      </c>
      <c r="I93" s="11" t="n">
        <v>0</v>
      </c>
      <c r="J93" s="11" t="n">
        <v>0</v>
      </c>
      <c r="K93" s="12" t="n">
        <v>0</v>
      </c>
      <c r="L93" s="12" t="n">
        <v>0</v>
      </c>
      <c r="M93" s="12" t="n">
        <v>0</v>
      </c>
      <c r="N93" s="12" t="n">
        <v>0</v>
      </c>
      <c r="O93" s="12" t="n">
        <v>0</v>
      </c>
      <c r="P93" s="12" t="n">
        <v>0</v>
      </c>
      <c r="Q93" s="12" t="n">
        <v>0</v>
      </c>
      <c r="R93" s="12" t="n">
        <v>0</v>
      </c>
      <c r="S93" s="12" t="n">
        <v>0</v>
      </c>
      <c r="T93" s="12" t="n">
        <v>0</v>
      </c>
    </row>
    <row r="94" customFormat="false" ht="27" hidden="false" customHeight="true" outlineLevel="0" collapsed="false">
      <c r="A94" s="7" t="s">
        <v>194</v>
      </c>
      <c r="B94" s="8" t="s">
        <v>195</v>
      </c>
      <c r="C94" s="11" t="n">
        <v>0</v>
      </c>
      <c r="D94" s="11" t="n">
        <v>0</v>
      </c>
      <c r="E94" s="11" t="n">
        <v>0</v>
      </c>
      <c r="F94" s="11" t="n">
        <v>0</v>
      </c>
      <c r="G94" s="11" t="n">
        <v>0</v>
      </c>
      <c r="H94" s="11" t="n">
        <v>0</v>
      </c>
      <c r="I94" s="11" t="n">
        <v>0</v>
      </c>
      <c r="J94" s="11" t="n">
        <v>0</v>
      </c>
      <c r="K94" s="12" t="n">
        <v>0</v>
      </c>
      <c r="L94" s="12" t="n">
        <v>0</v>
      </c>
      <c r="M94" s="12" t="n">
        <v>0</v>
      </c>
      <c r="N94" s="12" t="n">
        <v>0</v>
      </c>
      <c r="O94" s="12" t="n">
        <v>0</v>
      </c>
      <c r="P94" s="12" t="n">
        <v>0</v>
      </c>
      <c r="Q94" s="12" t="n">
        <v>0</v>
      </c>
      <c r="R94" s="12" t="n">
        <v>0</v>
      </c>
      <c r="S94" s="12" t="n">
        <v>0</v>
      </c>
      <c r="T94" s="12" t="n">
        <v>0</v>
      </c>
    </row>
    <row r="95" customFormat="false" ht="14.25" hidden="false" customHeight="true" outlineLevel="0" collapsed="false">
      <c r="A95" s="7" t="s">
        <v>196</v>
      </c>
      <c r="B95" s="8" t="s">
        <v>197</v>
      </c>
      <c r="C95" s="11" t="n">
        <v>0</v>
      </c>
      <c r="D95" s="11" t="n">
        <v>0</v>
      </c>
      <c r="E95" s="11" t="n">
        <v>0</v>
      </c>
      <c r="F95" s="11" t="n">
        <v>0</v>
      </c>
      <c r="G95" s="11" t="n">
        <v>0</v>
      </c>
      <c r="H95" s="11" t="n">
        <v>0</v>
      </c>
      <c r="I95" s="11" t="n">
        <v>0</v>
      </c>
      <c r="J95" s="11" t="n">
        <v>0</v>
      </c>
      <c r="K95" s="12" t="n">
        <v>0</v>
      </c>
      <c r="L95" s="12" t="n">
        <v>0</v>
      </c>
      <c r="M95" s="12" t="n">
        <v>0</v>
      </c>
      <c r="N95" s="12" t="n">
        <v>0</v>
      </c>
      <c r="O95" s="12" t="n">
        <v>0</v>
      </c>
      <c r="P95" s="12" t="n">
        <v>0</v>
      </c>
      <c r="Q95" s="12" t="n">
        <v>0</v>
      </c>
      <c r="R95" s="12" t="n">
        <v>0</v>
      </c>
      <c r="S95" s="12" t="n">
        <v>0</v>
      </c>
      <c r="T95" s="12" t="n">
        <v>0</v>
      </c>
    </row>
    <row r="96" customFormat="false" ht="27" hidden="false" customHeight="true" outlineLevel="0" collapsed="false">
      <c r="A96" s="7" t="s">
        <v>198</v>
      </c>
      <c r="B96" s="8" t="s">
        <v>199</v>
      </c>
      <c r="C96" s="11" t="n">
        <v>0</v>
      </c>
      <c r="D96" s="11" t="n">
        <v>0</v>
      </c>
      <c r="E96" s="11" t="n">
        <v>0</v>
      </c>
      <c r="F96" s="11" t="n">
        <v>0</v>
      </c>
      <c r="G96" s="11" t="n">
        <v>0</v>
      </c>
      <c r="H96" s="11" t="n">
        <v>0</v>
      </c>
      <c r="I96" s="11" t="n">
        <v>0</v>
      </c>
      <c r="J96" s="11" t="n">
        <v>0</v>
      </c>
      <c r="K96" s="12" t="n">
        <v>0</v>
      </c>
      <c r="L96" s="12" t="n">
        <v>0</v>
      </c>
      <c r="M96" s="12" t="n">
        <v>0</v>
      </c>
      <c r="N96" s="12" t="n">
        <v>0</v>
      </c>
      <c r="O96" s="12" t="n">
        <v>0</v>
      </c>
      <c r="P96" s="12" t="n">
        <v>0</v>
      </c>
      <c r="Q96" s="12" t="n">
        <v>0</v>
      </c>
      <c r="R96" s="12" t="n">
        <v>0</v>
      </c>
      <c r="S96" s="12" t="n">
        <v>0</v>
      </c>
      <c r="T96" s="12" t="n">
        <v>0</v>
      </c>
    </row>
    <row r="97" customFormat="false" ht="14.25" hidden="false" customHeight="true" outlineLevel="0" collapsed="false">
      <c r="A97" s="7" t="s">
        <v>200</v>
      </c>
      <c r="B97" s="8" t="s">
        <v>201</v>
      </c>
      <c r="C97" s="11" t="n">
        <v>0</v>
      </c>
      <c r="D97" s="11" t="n">
        <v>0</v>
      </c>
      <c r="E97" s="11" t="n">
        <v>0</v>
      </c>
      <c r="F97" s="11" t="n">
        <v>0</v>
      </c>
      <c r="G97" s="11" t="n">
        <v>0</v>
      </c>
      <c r="H97" s="11" t="n">
        <v>0</v>
      </c>
      <c r="I97" s="11" t="n">
        <v>0</v>
      </c>
      <c r="J97" s="11" t="n">
        <v>0</v>
      </c>
      <c r="K97" s="12" t="n">
        <v>0</v>
      </c>
      <c r="L97" s="12" t="n">
        <v>0</v>
      </c>
      <c r="M97" s="12" t="n">
        <v>0</v>
      </c>
      <c r="N97" s="12" t="n">
        <v>0</v>
      </c>
      <c r="O97" s="12" t="n">
        <v>0</v>
      </c>
      <c r="P97" s="12" t="n">
        <v>0</v>
      </c>
      <c r="Q97" s="12" t="n">
        <v>0</v>
      </c>
      <c r="R97" s="12" t="n">
        <v>0</v>
      </c>
      <c r="S97" s="12" t="n">
        <v>0</v>
      </c>
      <c r="T97" s="12" t="n">
        <v>0</v>
      </c>
    </row>
    <row r="98" customFormat="false" ht="27" hidden="false" customHeight="true" outlineLevel="0" collapsed="false">
      <c r="A98" s="7" t="s">
        <v>202</v>
      </c>
      <c r="B98" s="8" t="s">
        <v>203</v>
      </c>
      <c r="C98" s="11" t="n">
        <v>0</v>
      </c>
      <c r="D98" s="11" t="n">
        <v>0</v>
      </c>
      <c r="E98" s="11" t="n">
        <v>0</v>
      </c>
      <c r="F98" s="11" t="n">
        <v>0</v>
      </c>
      <c r="G98" s="11" t="n">
        <v>0</v>
      </c>
      <c r="H98" s="11" t="n">
        <v>0</v>
      </c>
      <c r="I98" s="11" t="n">
        <v>0</v>
      </c>
      <c r="J98" s="11" t="n">
        <v>0</v>
      </c>
      <c r="K98" s="12" t="n">
        <v>0</v>
      </c>
      <c r="L98" s="12" t="n">
        <v>0</v>
      </c>
      <c r="M98" s="12" t="n">
        <v>0</v>
      </c>
      <c r="N98" s="12" t="n">
        <v>0</v>
      </c>
      <c r="O98" s="12" t="n">
        <v>0</v>
      </c>
      <c r="P98" s="12" t="n">
        <v>0</v>
      </c>
      <c r="Q98" s="12" t="n">
        <v>0</v>
      </c>
      <c r="R98" s="12" t="n">
        <v>0</v>
      </c>
      <c r="S98" s="12" t="n">
        <v>0</v>
      </c>
      <c r="T98" s="12" t="n">
        <v>0</v>
      </c>
    </row>
    <row r="99" customFormat="false" ht="27" hidden="false" customHeight="true" outlineLevel="0" collapsed="false">
      <c r="A99" s="7" t="s">
        <v>204</v>
      </c>
      <c r="B99" s="8" t="s">
        <v>205</v>
      </c>
      <c r="C99" s="11" t="n">
        <v>0</v>
      </c>
      <c r="D99" s="11" t="n">
        <v>0</v>
      </c>
      <c r="E99" s="11" t="n">
        <v>0</v>
      </c>
      <c r="F99" s="11" t="n">
        <v>0</v>
      </c>
      <c r="G99" s="11" t="n">
        <v>0</v>
      </c>
      <c r="H99" s="11" t="n">
        <v>0</v>
      </c>
      <c r="I99" s="11" t="n">
        <v>0</v>
      </c>
      <c r="J99" s="11" t="n">
        <v>0</v>
      </c>
      <c r="K99" s="12" t="n">
        <v>0</v>
      </c>
      <c r="L99" s="12" t="n">
        <v>0</v>
      </c>
      <c r="M99" s="12" t="n">
        <v>0</v>
      </c>
      <c r="N99" s="12" t="n">
        <v>0</v>
      </c>
      <c r="O99" s="12" t="n">
        <v>0</v>
      </c>
      <c r="P99" s="12" t="n">
        <v>0</v>
      </c>
      <c r="Q99" s="12" t="n">
        <v>0</v>
      </c>
      <c r="R99" s="12" t="n">
        <v>0</v>
      </c>
      <c r="S99" s="12" t="n">
        <v>0</v>
      </c>
      <c r="T99" s="12" t="n">
        <v>0</v>
      </c>
    </row>
    <row r="100" customFormat="false" ht="78" hidden="false" customHeight="true" outlineLevel="0" collapsed="false">
      <c r="A100" s="7" t="s">
        <v>206</v>
      </c>
      <c r="B100" s="8" t="s">
        <v>207</v>
      </c>
      <c r="C100" s="11" t="n">
        <f aca="false">IF(ISNUMBER(VLOOKUP("2.1.3.3",A3:T105,3,FALSE())),ROUND(VLOOKUP("2.1.3.3",A3:T105,3,FALSE()),4),0) + IF(ISNUMBER(VLOOKUP("5.1.1.4",A3:T105,3,FALSE())),ROUND(VLOOKUP("5.1.1.4",A3:T105,3,FALSE()),4),0)</f>
        <v>0</v>
      </c>
      <c r="D100" s="11" t="n">
        <f aca="false">IF(ISNUMBER(VLOOKUP("2.1.3.3",A3:T105,4,FALSE())),ROUND(VLOOKUP("2.1.3.3",A3:T105,4,FALSE()),4),0) + IF(ISNUMBER(VLOOKUP("5.1.1.4",A3:T105,4,FALSE())),ROUND(VLOOKUP("5.1.1.4",A3:T105,4,FALSE()),4),0)</f>
        <v>0</v>
      </c>
      <c r="E100" s="11" t="n">
        <f aca="false">IF(ISNUMBER(VLOOKUP("2.1.3.3",A3:T105,5,FALSE())),ROUND(VLOOKUP("2.1.3.3",A3:T105,5,FALSE()),4),0) + IF(ISNUMBER(VLOOKUP("5.1.1.4",A3:T105,5,FALSE())),ROUND(VLOOKUP("5.1.1.4",A3:T105,5,FALSE()),4),0)</f>
        <v>0</v>
      </c>
      <c r="F100" s="11" t="n">
        <f aca="false">IF(ISNUMBER(VLOOKUP("2.1.3.3",A3:T105,6,FALSE())),ROUND(VLOOKUP("2.1.3.3",A3:T105,6,FALSE()),4),0) + IF(ISNUMBER(VLOOKUP("5.1.1.4",A3:T105,6,FALSE())),ROUND(VLOOKUP("5.1.1.4",A3:T105,6,FALSE()),4),0)</f>
        <v>0</v>
      </c>
      <c r="G100" s="11" t="n">
        <f aca="false">IF(ISNUMBER(VLOOKUP("2.1.3.3",A3:T105,7,FALSE())),ROUND(VLOOKUP("2.1.3.3",A3:T105,7,FALSE()),4),0) + IF(ISNUMBER(VLOOKUP("5.1.1.4",A3:T105,7,FALSE())),ROUND(VLOOKUP("5.1.1.4",A3:T105,7,FALSE()),4),0)</f>
        <v>0</v>
      </c>
      <c r="H100" s="11" t="n">
        <f aca="false">IF(ISNUMBER(VLOOKUP("2.1.3.3",A3:T105,8,FALSE())),ROUND(VLOOKUP("2.1.3.3",A3:T105,8,FALSE()),4),0) + IF(ISNUMBER(VLOOKUP("5.1.1.4",A3:T105,8,FALSE())),ROUND(VLOOKUP("5.1.1.4",A3:T105,8,FALSE()),4),0)</f>
        <v>0</v>
      </c>
      <c r="I100" s="11" t="n">
        <f aca="false">IF(ISNUMBER(VLOOKUP("2.1.3.3",A3:T105,9,FALSE())),ROUND(VLOOKUP("2.1.3.3",A3:T105,9,FALSE()),4),0) + IF(ISNUMBER(VLOOKUP("5.1.1.4",A3:T105,9,FALSE())),ROUND(VLOOKUP("5.1.1.4",A3:T105,9,FALSE()),4),0)</f>
        <v>0</v>
      </c>
      <c r="J100" s="11" t="n">
        <f aca="false">IF(ISNUMBER(VLOOKUP("2.1.3.3",A3:T105,10,FALSE())),ROUND(VLOOKUP("2.1.3.3",A3:T105,10,FALSE()),4),0) + IF(ISNUMBER(VLOOKUP("5.1.1.4",A3:T105,10,FALSE())),ROUND(VLOOKUP("5.1.1.4",A3:T105,10,FALSE()),4),0)</f>
        <v>0</v>
      </c>
      <c r="K100" s="12" t="n">
        <f aca="false">IF(ISNUMBER(VLOOKUP("2.1.3.3",A3:T105,11,FALSE())),ROUND(VLOOKUP("2.1.3.3",A3:T105,11,FALSE()),4),0) + IF(ISNUMBER(VLOOKUP("5.1.1.4",A3:T105,11,FALSE())),ROUND(VLOOKUP("5.1.1.4",A3:T105,11,FALSE()),4),0)</f>
        <v>0</v>
      </c>
      <c r="L100" s="12" t="n">
        <f aca="false">IF(ISNUMBER(VLOOKUP("2.1.3.3",A3:T105,12,FALSE())),ROUND(VLOOKUP("2.1.3.3",A3:T105,12,FALSE()),4),0) + IF(ISNUMBER(VLOOKUP("5.1.1.4",A3:T105,12,FALSE())),ROUND(VLOOKUP("5.1.1.4",A3:T105,12,FALSE()),4),0)</f>
        <v>0</v>
      </c>
      <c r="M100" s="12" t="n">
        <f aca="false">IF(ISNUMBER(VLOOKUP("2.1.3.3",A3:T105,13,FALSE())),ROUND(VLOOKUP("2.1.3.3",A3:T105,13,FALSE()),4),0) + IF(ISNUMBER(VLOOKUP("5.1.1.4",A3:T105,13,FALSE())),ROUND(VLOOKUP("5.1.1.4",A3:T105,13,FALSE()),4),0)</f>
        <v>0</v>
      </c>
      <c r="N100" s="12" t="n">
        <f aca="false">IF(ISNUMBER(VLOOKUP("2.1.3.3",A3:T105,14,FALSE())),ROUND(VLOOKUP("2.1.3.3",A3:T105,14,FALSE()),4),0) + IF(ISNUMBER(VLOOKUP("5.1.1.4",A3:T105,14,FALSE())),ROUND(VLOOKUP("5.1.1.4",A3:T105,14,FALSE()),4),0)</f>
        <v>0</v>
      </c>
      <c r="O100" s="12" t="n">
        <f aca="false">IF(ISNUMBER(VLOOKUP("2.1.3.3",A3:T105,15,FALSE())),ROUND(VLOOKUP("2.1.3.3",A3:T105,15,FALSE()),4),0) + IF(ISNUMBER(VLOOKUP("5.1.1.4",A3:T105,15,FALSE())),ROUND(VLOOKUP("5.1.1.4",A3:T105,15,FALSE()),4),0)</f>
        <v>0</v>
      </c>
      <c r="P100" s="12" t="n">
        <f aca="false">IF(ISNUMBER(VLOOKUP("2.1.3.3",A3:T105,16,FALSE())),ROUND(VLOOKUP("2.1.3.3",A3:T105,16,FALSE()),4),0) + IF(ISNUMBER(VLOOKUP("5.1.1.4",A3:T105,16,FALSE())),ROUND(VLOOKUP("5.1.1.4",A3:T105,16,FALSE()),4),0)</f>
        <v>0</v>
      </c>
      <c r="Q100" s="12" t="n">
        <f aca="false">IF(ISNUMBER(VLOOKUP("2.1.3.3",A3:T105,17,FALSE())),ROUND(VLOOKUP("2.1.3.3",A3:T105,17,FALSE()),4),0) + IF(ISNUMBER(VLOOKUP("5.1.1.4",A3:T105,17,FALSE())),ROUND(VLOOKUP("5.1.1.4",A3:T105,17,FALSE()),4),0)</f>
        <v>0</v>
      </c>
      <c r="R100" s="12" t="n">
        <f aca="false">IF(ISNUMBER(VLOOKUP("2.1.3.3",A3:T105,18,FALSE())),ROUND(VLOOKUP("2.1.3.3",A3:T105,18,FALSE()),4),0) + IF(ISNUMBER(VLOOKUP("5.1.1.4",A3:T105,18,FALSE())),ROUND(VLOOKUP("5.1.1.4",A3:T105,18,FALSE()),4),0)</f>
        <v>0</v>
      </c>
      <c r="S100" s="12" t="n">
        <f aca="false">IF(ISNUMBER(VLOOKUP("2.1.3.3",A3:T105,19,FALSE())),ROUND(VLOOKUP("2.1.3.3",A3:T105,19,FALSE()),4),0) + IF(ISNUMBER(VLOOKUP("5.1.1.4",A3:T105,19,FALSE())),ROUND(VLOOKUP("5.1.1.4",A3:T105,19,FALSE()),4),0)</f>
        <v>0</v>
      </c>
      <c r="T100" s="12" t="n">
        <f aca="false">IF(ISNUMBER(VLOOKUP("2.1.3.3",A3:T105,20,FALSE())),ROUND(VLOOKUP("2.1.3.3",A3:T105,20,FALSE()),4),0) + IF(ISNUMBER(VLOOKUP("5.1.1.4",A3:T105,20,FALSE())),ROUND(VLOOKUP("5.1.1.4",A3:T105,20,FALSE()),4),0)</f>
        <v>0</v>
      </c>
    </row>
    <row r="101" customFormat="false" ht="27" hidden="false" customHeight="true" outlineLevel="0" collapsed="false">
      <c r="A101" s="7" t="s">
        <v>208</v>
      </c>
      <c r="B101" s="8" t="s">
        <v>209</v>
      </c>
      <c r="C101" s="9" t="n">
        <v>0</v>
      </c>
      <c r="D101" s="9" t="n">
        <v>0</v>
      </c>
      <c r="E101" s="9" t="n">
        <v>0</v>
      </c>
      <c r="F101" s="9" t="n">
        <v>0</v>
      </c>
      <c r="G101" s="9" t="n">
        <v>0</v>
      </c>
      <c r="H101" s="9" t="n">
        <v>0</v>
      </c>
      <c r="I101" s="9" t="n">
        <v>0</v>
      </c>
      <c r="J101" s="9" t="n">
        <v>0</v>
      </c>
      <c r="K101" s="10" t="n">
        <v>0</v>
      </c>
      <c r="L101" s="10" t="n">
        <v>0</v>
      </c>
      <c r="M101" s="10" t="n">
        <v>0</v>
      </c>
      <c r="N101" s="10" t="n">
        <v>0</v>
      </c>
      <c r="O101" s="10" t="n">
        <v>0</v>
      </c>
      <c r="P101" s="10" t="n">
        <v>0</v>
      </c>
      <c r="Q101" s="10" t="n">
        <v>0</v>
      </c>
      <c r="R101" s="10" t="n">
        <v>0</v>
      </c>
      <c r="S101" s="10" t="n">
        <v>0</v>
      </c>
      <c r="T101" s="10" t="n">
        <v>0</v>
      </c>
    </row>
    <row r="102" customFormat="false" ht="22.5" hidden="true" customHeight="false" outlineLevel="0" collapsed="false">
      <c r="A102" s="7" t="s">
        <v>210</v>
      </c>
      <c r="B102" s="8" t="s">
        <v>211</v>
      </c>
      <c r="C102" s="9" t="n">
        <v>0</v>
      </c>
      <c r="D102" s="9" t="n">
        <v>0</v>
      </c>
      <c r="E102" s="9" t="n">
        <v>0</v>
      </c>
      <c r="F102" s="9" t="n">
        <v>0</v>
      </c>
      <c r="G102" s="9" t="n">
        <v>0</v>
      </c>
      <c r="H102" s="9" t="n">
        <v>0</v>
      </c>
      <c r="I102" s="9" t="n">
        <v>0</v>
      </c>
      <c r="J102" s="9" t="n">
        <v>0</v>
      </c>
      <c r="K102" s="10" t="n">
        <v>0</v>
      </c>
      <c r="L102" s="10" t="n">
        <v>0</v>
      </c>
      <c r="M102" s="10" t="n">
        <v>0</v>
      </c>
      <c r="N102" s="10" t="n">
        <v>0</v>
      </c>
      <c r="O102" s="10" t="n">
        <v>0</v>
      </c>
      <c r="P102" s="10" t="n">
        <v>0</v>
      </c>
      <c r="Q102" s="10" t="n">
        <v>0</v>
      </c>
      <c r="R102" s="10" t="n">
        <v>0</v>
      </c>
      <c r="S102" s="10" t="n">
        <v>0</v>
      </c>
      <c r="T102" s="10" t="n">
        <v>0</v>
      </c>
    </row>
    <row r="103" customFormat="false" ht="15" hidden="true" customHeight="false" outlineLevel="0" collapsed="false">
      <c r="A103" s="22" t="s">
        <v>212</v>
      </c>
      <c r="B103" s="23" t="s">
        <v>213</v>
      </c>
      <c r="C103" s="24" t="n">
        <f aca="false">IF(ISNUMBER(VLOOKUP("3",A3:T105,3,FALSE())),ROUND(VLOOKUP("3",A3:T105,3,FALSE()),4),0) + IF(ISNUMBER(VLOOKUP("4",A3:T105,3,FALSE())),ROUND(VLOOKUP("4",A3:T105,3,FALSE()),4),0) - IF(ISNUMBER(VLOOKUP("5",A3:T105,3,FALSE())),ROUND(VLOOKUP("5",A3:T105,3,FALSE()),4),0)</f>
        <v>4041993.5</v>
      </c>
      <c r="D103" s="24" t="n">
        <f aca="false">IF(ISNUMBER(VLOOKUP("3",A3:T105,4,FALSE())),ROUND(VLOOKUP("3",A3:T105,4,FALSE()),4),0) + IF(ISNUMBER(VLOOKUP("4",A3:T105,4,FALSE())),ROUND(VLOOKUP("4",A3:T105,4,FALSE()),4),0) - IF(ISNUMBER(VLOOKUP("5",A3:T105,4,FALSE())),ROUND(VLOOKUP("5",A3:T105,4,FALSE()),4),0)</f>
        <v>3983538.55</v>
      </c>
      <c r="E103" s="24" t="n">
        <f aca="false">IF(ISNUMBER(VLOOKUP("3",A3:T105,5,FALSE())),ROUND(VLOOKUP("3",A3:T105,5,FALSE()),4),0) + IF(ISNUMBER(VLOOKUP("4",A3:T105,5,FALSE())),ROUND(VLOOKUP("4",A3:T105,5,FALSE()),4),0) - IF(ISNUMBER(VLOOKUP("5",A3:T105,5,FALSE())),ROUND(VLOOKUP("5",A3:T105,5,FALSE()),4),0)</f>
        <v>4530985.67</v>
      </c>
      <c r="F103" s="24" t="n">
        <f aca="false">IF(ISNUMBER(VLOOKUP("3",A3:T105,6,FALSE())),ROUND(VLOOKUP("3",A3:T105,6,FALSE()),4),0) + IF(ISNUMBER(VLOOKUP("4",A3:T105,6,FALSE())),ROUND(VLOOKUP("4",A3:T105,6,FALSE()),4),0) - IF(ISNUMBER(VLOOKUP("5",A3:T105,6,FALSE())),ROUND(VLOOKUP("5",A3:T105,6,FALSE()),4),0)</f>
        <v>6304112.21</v>
      </c>
      <c r="G103" s="24" t="n">
        <f aca="false">IF(ISNUMBER(VLOOKUP("3",A3:T105,7,FALSE())),ROUND(VLOOKUP("3",A3:T105,7,FALSE()),4),0) + IF(ISNUMBER(VLOOKUP("4",A3:T105,7,FALSE())),ROUND(VLOOKUP("4",A3:T105,7,FALSE()),4),0) - IF(ISNUMBER(VLOOKUP("5",A3:T105,7,FALSE())),ROUND(VLOOKUP("5",A3:T105,7,FALSE()),4),0)</f>
        <v>4118432.48</v>
      </c>
      <c r="H103" s="24" t="n">
        <f aca="false">IF(ISNUMBER(VLOOKUP("3",A3:T105,8,FALSE())),ROUND(VLOOKUP("3",A3:T105,8,FALSE()),4),0) + IF(ISNUMBER(VLOOKUP("4",A3:T105,8,FALSE())),ROUND(VLOOKUP("4",A3:T105,8,FALSE()),4),0) - IF(ISNUMBER(VLOOKUP("5",A3:T105,8,FALSE())),ROUND(VLOOKUP("5",A3:T105,8,FALSE()),4),0)</f>
        <v>2994512.17</v>
      </c>
      <c r="I103" s="24" t="n">
        <f aca="false">IF(ISNUMBER(VLOOKUP("3",A3:T105,9,FALSE())),ROUND(VLOOKUP("3",A3:T105,9,FALSE()),4),0) + IF(ISNUMBER(VLOOKUP("4",A3:T105,9,FALSE())),ROUND(VLOOKUP("4",A3:T105,9,FALSE()),4),0) - IF(ISNUMBER(VLOOKUP("5",A3:T105,9,FALSE())),ROUND(VLOOKUP("5",A3:T105,9,FALSE()),4),0)</f>
        <v>0</v>
      </c>
      <c r="J103" s="24" t="n">
        <f aca="false">IF(ISNUMBER(VLOOKUP("3",A3:T105,10,FALSE())),ROUND(VLOOKUP("3",A3:T105,10,FALSE()),4),0) + IF(ISNUMBER(VLOOKUP("4",A3:T105,10,FALSE())),ROUND(VLOOKUP("4",A3:T105,10,FALSE()),4),0) - IF(ISNUMBER(VLOOKUP("5",A3:T105,10,FALSE())),ROUND(VLOOKUP("5",A3:T105,10,FALSE()),4),0)</f>
        <v>1710302.25</v>
      </c>
      <c r="K103" s="25" t="n">
        <f aca="false">IF(ISNUMBER(VLOOKUP("3",A3:T105,11,FALSE())),ROUND(VLOOKUP("3",A3:T105,11,FALSE()),4),0) + IF(ISNUMBER(VLOOKUP("4",A3:T105,11,FALSE())),ROUND(VLOOKUP("4",A3:T105,11,FALSE()),4),0) - IF(ISNUMBER(VLOOKUP("5",A3:T105,11,FALSE())),ROUND(VLOOKUP("5",A3:T105,11,FALSE()),4),0)</f>
        <v>0</v>
      </c>
      <c r="L103" s="25" t="n">
        <f aca="false">IF(ISNUMBER(VLOOKUP("3",A3:T105,12,FALSE())),ROUND(VLOOKUP("3",A3:T105,12,FALSE()),4),0) + IF(ISNUMBER(VLOOKUP("4",A3:T105,12,FALSE())),ROUND(VLOOKUP("4",A3:T105,12,FALSE()),4),0) - IF(ISNUMBER(VLOOKUP("5",A3:T105,12,FALSE())),ROUND(VLOOKUP("5",A3:T105,12,FALSE()),4),0)</f>
        <v>0</v>
      </c>
      <c r="M103" s="25" t="n">
        <f aca="false">IF(ISNUMBER(VLOOKUP("3",A3:T105,13,FALSE())),ROUND(VLOOKUP("3",A3:T105,13,FALSE()),4),0) + IF(ISNUMBER(VLOOKUP("4",A3:T105,13,FALSE())),ROUND(VLOOKUP("4",A3:T105,13,FALSE()),4),0) - IF(ISNUMBER(VLOOKUP("5",A3:T105,13,FALSE())),ROUND(VLOOKUP("5",A3:T105,13,FALSE()),4),0)</f>
        <v>0</v>
      </c>
      <c r="N103" s="25" t="n">
        <f aca="false">IF(ISNUMBER(VLOOKUP("3",A3:T105,14,FALSE())),ROUND(VLOOKUP("3",A3:T105,14,FALSE()),4),0) + IF(ISNUMBER(VLOOKUP("4",A3:T105,14,FALSE())),ROUND(VLOOKUP("4",A3:T105,14,FALSE()),4),0) - IF(ISNUMBER(VLOOKUP("5",A3:T105,14,FALSE())),ROUND(VLOOKUP("5",A3:T105,14,FALSE()),4),0)</f>
        <v>0</v>
      </c>
      <c r="O103" s="25" t="n">
        <f aca="false">IF(ISNUMBER(VLOOKUP("3",A3:T105,15,FALSE())),ROUND(VLOOKUP("3",A3:T105,15,FALSE()),4),0) + IF(ISNUMBER(VLOOKUP("4",A3:T105,15,FALSE())),ROUND(VLOOKUP("4",A3:T105,15,FALSE()),4),0) - IF(ISNUMBER(VLOOKUP("5",A3:T105,15,FALSE())),ROUND(VLOOKUP("5",A3:T105,15,FALSE()),4),0)</f>
        <v>0</v>
      </c>
      <c r="P103" s="25" t="n">
        <f aca="false">IF(ISNUMBER(VLOOKUP("3",A3:T105,16,FALSE())),ROUND(VLOOKUP("3",A3:T105,16,FALSE()),4),0) + IF(ISNUMBER(VLOOKUP("4",A3:T105,16,FALSE())),ROUND(VLOOKUP("4",A3:T105,16,FALSE()),4),0) - IF(ISNUMBER(VLOOKUP("5",A3:T105,16,FALSE())),ROUND(VLOOKUP("5",A3:T105,16,FALSE()),4),0)</f>
        <v>0</v>
      </c>
      <c r="Q103" s="25" t="n">
        <f aca="false">IF(ISNUMBER(VLOOKUP("3",A3:T105,17,FALSE())),ROUND(VLOOKUP("3",A3:T105,17,FALSE()),4),0) + IF(ISNUMBER(VLOOKUP("4",A3:T105,17,FALSE())),ROUND(VLOOKUP("4",A3:T105,17,FALSE()),4),0) - IF(ISNUMBER(VLOOKUP("5",A3:T105,17,FALSE())),ROUND(VLOOKUP("5",A3:T105,17,FALSE()),4),0)</f>
        <v>0</v>
      </c>
      <c r="R103" s="25" t="n">
        <f aca="false">IF(ISNUMBER(VLOOKUP("3",A3:T105,18,FALSE())),ROUND(VLOOKUP("3",A3:T105,18,FALSE()),4),0) + IF(ISNUMBER(VLOOKUP("4",A3:T105,18,FALSE())),ROUND(VLOOKUP("4",A3:T105,18,FALSE()),4),0) - IF(ISNUMBER(VLOOKUP("5",A3:T105,18,FALSE())),ROUND(VLOOKUP("5",A3:T105,18,FALSE()),4),0)</f>
        <v>0</v>
      </c>
      <c r="S103" s="25" t="n">
        <f aca="false">IF(ISNUMBER(VLOOKUP("3",A3:T105,19,FALSE())),ROUND(VLOOKUP("3",A3:T105,19,FALSE()),4),0) + IF(ISNUMBER(VLOOKUP("4",A3:T105,19,FALSE())),ROUND(VLOOKUP("4",A3:T105,19,FALSE()),4),0) - IF(ISNUMBER(VLOOKUP("5",A3:T105,19,FALSE())),ROUND(VLOOKUP("5",A3:T105,19,FALSE()),4),0)</f>
        <v>0</v>
      </c>
      <c r="T103" s="25" t="n">
        <f aca="false">IF(ISNUMBER(VLOOKUP("3",A3:T105,20,FALSE())),ROUND(VLOOKUP("3",A3:T105,20,FALSE()),4),0) + IF(ISNUMBER(VLOOKUP("4",A3:T105,20,FALSE())),ROUND(VLOOKUP("4",A3:T105,20,FALSE()),4),0) - IF(ISNUMBER(VLOOKUP("5",A3:T105,20,FALSE())),ROUND(VLOOKUP("5",A3:T105,20,FALSE()),4),0)</f>
        <v>0</v>
      </c>
    </row>
    <row r="104" customFormat="false" ht="15" hidden="true" customHeight="false" outlineLevel="0" collapsed="false">
      <c r="A104" s="7" t="s">
        <v>214</v>
      </c>
      <c r="B104" s="8" t="s">
        <v>215</v>
      </c>
      <c r="C104" s="11" t="n">
        <f aca="false">IF(ISNUMBER(VLOOKUP("1",A3:T105,3,FALSE())),ROUND(VLOOKUP("1",A3:T105,3,FALSE()),4),0) - (IF(ISNUMBER(VLOOKUP("2.1",A3:T105,3,FALSE())),ROUND(VLOOKUP("2.1",A3:T105,3,FALSE()),4),0) + IF(ISNUMBER(VLOOKUP("10.1.2",A3:T105,3,FALSE())),ROUND(VLOOKUP("10.1.2",A3:T105,3,FALSE()),4),0)) + IF(ISNUMBER(VLOOKUP("4",A3:T105,3,FALSE())),ROUND(VLOOKUP("4",A3:T105,3,FALSE()),4),0) - IF(ISNUMBER(VLOOKUP("5",A3:T105,3,FALSE())),ROUND(VLOOKUP("5",A3:T105,3,FALSE()),4),0)</f>
        <v>5391948.17</v>
      </c>
      <c r="D104" s="11" t="n">
        <f aca="false">IF(ISNUMBER(VLOOKUP("1",A3:T105,4,FALSE())),ROUND(VLOOKUP("1",A3:T105,4,FALSE()),4),0) - (IF(ISNUMBER(VLOOKUP("2.1",A3:T105,4,FALSE())),ROUND(VLOOKUP("2.1",A3:T105,4,FALSE()),4),0) + IF(ISNUMBER(VLOOKUP("10.1.2",A3:T105,4,FALSE())),ROUND(VLOOKUP("10.1.2",A3:T105,4,FALSE()),4),0)) + IF(ISNUMBER(VLOOKUP("4",A3:T105,4,FALSE())),ROUND(VLOOKUP("4",A3:T105,4,FALSE()),4),0) - IF(ISNUMBER(VLOOKUP("5",A3:T105,4,FALSE())),ROUND(VLOOKUP("5",A3:T105,4,FALSE()),4),0)</f>
        <v>5629485.07</v>
      </c>
      <c r="E104" s="11" t="n">
        <f aca="false">IF(ISNUMBER(VLOOKUP("1",A3:T105,5,FALSE())),ROUND(VLOOKUP("1",A3:T105,5,FALSE()),4),0) - (IF(ISNUMBER(VLOOKUP("2.1",A3:T105,5,FALSE())),ROUND(VLOOKUP("2.1",A3:T105,5,FALSE()),4),0) + IF(ISNUMBER(VLOOKUP("10.1.2",A3:T105,5,FALSE())),ROUND(VLOOKUP("10.1.2",A3:T105,5,FALSE()),4),0)) + IF(ISNUMBER(VLOOKUP("4",A3:T105,5,FALSE())),ROUND(VLOOKUP("4",A3:T105,5,FALSE()),4),0) - IF(ISNUMBER(VLOOKUP("5",A3:T105,5,FALSE())),ROUND(VLOOKUP("5",A3:T105,5,FALSE()),4),0)</f>
        <v>6201697.9</v>
      </c>
      <c r="F104" s="11" t="n">
        <f aca="false">IF(ISNUMBER(VLOOKUP("1",A3:T105,6,FALSE())),ROUND(VLOOKUP("1",A3:T105,6,FALSE()),4),0) - (IF(ISNUMBER(VLOOKUP("2.1",A3:T105,6,FALSE())),ROUND(VLOOKUP("2.1",A3:T105,6,FALSE()),4),0) + IF(ISNUMBER(VLOOKUP("10.1.2",A3:T105,6,FALSE())),ROUND(VLOOKUP("10.1.2",A3:T105,6,FALSE()),4),0)) + IF(ISNUMBER(VLOOKUP("4",A3:T105,6,FALSE())),ROUND(VLOOKUP("4",A3:T105,6,FALSE()),4),0) - IF(ISNUMBER(VLOOKUP("5",A3:T105,6,FALSE())),ROUND(VLOOKUP("5",A3:T105,6,FALSE()),4),0)</f>
        <v>7931278.16</v>
      </c>
      <c r="G104" s="11" t="n">
        <f aca="false">IF(ISNUMBER(VLOOKUP("1",A3:T105,7,FALSE())),ROUND(VLOOKUP("1",A3:T105,7,FALSE()),4),0) - (IF(ISNUMBER(VLOOKUP("2.1",A3:T105,7,FALSE())),ROUND(VLOOKUP("2.1",A3:T105,7,FALSE()),4),0) + IF(ISNUMBER(VLOOKUP("10.1.2",A3:T105,7,FALSE())),ROUND(VLOOKUP("10.1.2",A3:T105,7,FALSE()),4),0)) + IF(ISNUMBER(VLOOKUP("4",A3:T105,7,FALSE())),ROUND(VLOOKUP("4",A3:T105,7,FALSE()),4),0) - IF(ISNUMBER(VLOOKUP("5",A3:T105,7,FALSE())),ROUND(VLOOKUP("5",A3:T105,7,FALSE()),4),0)</f>
        <v>6474142.75</v>
      </c>
      <c r="H104" s="11" t="n">
        <f aca="false">IF(ISNUMBER(VLOOKUP("1",A3:T105,8,FALSE())),ROUND(VLOOKUP("1",A3:T105,8,FALSE()),4),0) - (IF(ISNUMBER(VLOOKUP("2.1",A3:T105,8,FALSE())),ROUND(VLOOKUP("2.1",A3:T105,8,FALSE()),4),0) + IF(ISNUMBER(VLOOKUP("10.1.2",A3:T105,8,FALSE())),ROUND(VLOOKUP("10.1.2",A3:T105,8,FALSE()),4),0)) + IF(ISNUMBER(VLOOKUP("4",A3:T105,8,FALSE())),ROUND(VLOOKUP("4",A3:T105,8,FALSE()),4),0) - IF(ISNUMBER(VLOOKUP("5",A3:T105,8,FALSE())),ROUND(VLOOKUP("5",A3:T105,8,FALSE()),4),0)</f>
        <v>9907438.95</v>
      </c>
      <c r="I104" s="11" t="n">
        <f aca="false">IF(ISNUMBER(VLOOKUP("1",A3:T105,9,FALSE())),ROUND(VLOOKUP("1",A3:T105,9,FALSE()),4),0) - (IF(ISNUMBER(VLOOKUP("2.1",A3:T105,9,FALSE())),ROUND(VLOOKUP("2.1",A3:T105,9,FALSE()),4),0) + IF(ISNUMBER(VLOOKUP("10.1.2",A3:T105,9,FALSE())),ROUND(VLOOKUP("10.1.2",A3:T105,9,FALSE()),4),0)) + IF(ISNUMBER(VLOOKUP("4",A3:T105,9,FALSE())),ROUND(VLOOKUP("4",A3:T105,9,FALSE()),4),0) - IF(ISNUMBER(VLOOKUP("5",A3:T105,9,FALSE())),ROUND(VLOOKUP("5",A3:T105,9,FALSE()),4),0)</f>
        <v>11717857.14</v>
      </c>
      <c r="J104" s="11" t="n">
        <f aca="false">IF(ISNUMBER(VLOOKUP("1",A3:T105,10,FALSE())),ROUND(VLOOKUP("1",A3:T105,10,FALSE()),4),0) - (IF(ISNUMBER(VLOOKUP("2.1",A3:T105,10,FALSE())),ROUND(VLOOKUP("2.1",A3:T105,10,FALSE()),4),0) + IF(ISNUMBER(VLOOKUP("10.1.2",A3:T105,10,FALSE())),ROUND(VLOOKUP("10.1.2",A3:T105,10,FALSE()),4),0)) + IF(ISNUMBER(VLOOKUP("4",A3:T105,10,FALSE())),ROUND(VLOOKUP("4",A3:T105,10,FALSE()),4),0) - IF(ISNUMBER(VLOOKUP("5",A3:T105,10,FALSE())),ROUND(VLOOKUP("5",A3:T105,10,FALSE()),4),0)</f>
        <v>12786570.19</v>
      </c>
      <c r="K104" s="12" t="n">
        <f aca="false">IF(ISNUMBER(VLOOKUP("1",A3:T105,11,FALSE())),ROUND(VLOOKUP("1",A3:T105,11,FALSE()),4),0) - (IF(ISNUMBER(VLOOKUP("2.1",A3:T105,11,FALSE())),ROUND(VLOOKUP("2.1",A3:T105,11,FALSE()),4),0) + IF(ISNUMBER(VLOOKUP("10.1.2",A3:T105,11,FALSE())),ROUND(VLOOKUP("10.1.2",A3:T105,11,FALSE()),4),0)) + IF(ISNUMBER(VLOOKUP("4",A3:T105,11,FALSE())),ROUND(VLOOKUP("4",A3:T105,11,FALSE()),4),0) - IF(ISNUMBER(VLOOKUP("5",A3:T105,11,FALSE())),ROUND(VLOOKUP("5",A3:T105,11,FALSE()),4),0)</f>
        <v>1622900</v>
      </c>
      <c r="L104" s="12" t="n">
        <f aca="false">IF(ISNUMBER(VLOOKUP("1",A3:T105,12,FALSE())),ROUND(VLOOKUP("1",A3:T105,12,FALSE()),4),0) - (IF(ISNUMBER(VLOOKUP("2.1",A3:T105,12,FALSE())),ROUND(VLOOKUP("2.1",A3:T105,12,FALSE()),4),0) + IF(ISNUMBER(VLOOKUP("10.1.2",A3:T105,12,FALSE())),ROUND(VLOOKUP("10.1.2",A3:T105,12,FALSE()),4),0)) + IF(ISNUMBER(VLOOKUP("4",A3:T105,12,FALSE())),ROUND(VLOOKUP("4",A3:T105,12,FALSE()),4),0) - IF(ISNUMBER(VLOOKUP("5",A3:T105,12,FALSE())),ROUND(VLOOKUP("5",A3:T105,12,FALSE()),4),0)</f>
        <v>551058</v>
      </c>
      <c r="M104" s="12" t="n">
        <f aca="false">IF(ISNUMBER(VLOOKUP("1",A3:T105,13,FALSE())),ROUND(VLOOKUP("1",A3:T105,13,FALSE()),4),0) - (IF(ISNUMBER(VLOOKUP("2.1",A3:T105,13,FALSE())),ROUND(VLOOKUP("2.1",A3:T105,13,FALSE()),4),0) + IF(ISNUMBER(VLOOKUP("10.1.2",A3:T105,13,FALSE())),ROUND(VLOOKUP("10.1.2",A3:T105,13,FALSE()),4),0)) + IF(ISNUMBER(VLOOKUP("4",A3:T105,13,FALSE())),ROUND(VLOOKUP("4",A3:T105,13,FALSE()),4),0) - IF(ISNUMBER(VLOOKUP("5",A3:T105,13,FALSE())),ROUND(VLOOKUP("5",A3:T105,13,FALSE()),4),0)</f>
        <v>541360</v>
      </c>
      <c r="N104" s="12" t="n">
        <f aca="false">IF(ISNUMBER(VLOOKUP("1",A3:T105,14,FALSE())),ROUND(VLOOKUP("1",A3:T105,14,FALSE()),4),0) - (IF(ISNUMBER(VLOOKUP("2.1",A3:T105,14,FALSE())),ROUND(VLOOKUP("2.1",A3:T105,14,FALSE()),4),0) + IF(ISNUMBER(VLOOKUP("10.1.2",A3:T105,14,FALSE())),ROUND(VLOOKUP("10.1.2",A3:T105,14,FALSE()),4),0)) + IF(ISNUMBER(VLOOKUP("4",A3:T105,14,FALSE())),ROUND(VLOOKUP("4",A3:T105,14,FALSE()),4),0) - IF(ISNUMBER(VLOOKUP("5",A3:T105,14,FALSE())),ROUND(VLOOKUP("5",A3:T105,14,FALSE()),4),0)</f>
        <v>509950</v>
      </c>
      <c r="O104" s="12" t="n">
        <f aca="false">IF(ISNUMBER(VLOOKUP("1",A3:T105,15,FALSE())),ROUND(VLOOKUP("1",A3:T105,15,FALSE()),4),0) - (IF(ISNUMBER(VLOOKUP("2.1",A3:T105,15,FALSE())),ROUND(VLOOKUP("2.1",A3:T105,15,FALSE()),4),0) + IF(ISNUMBER(VLOOKUP("10.1.2",A3:T105,15,FALSE())),ROUND(VLOOKUP("10.1.2",A3:T105,15,FALSE()),4),0)) + IF(ISNUMBER(VLOOKUP("4",A3:T105,15,FALSE())),ROUND(VLOOKUP("4",A3:T105,15,FALSE()),4),0) - IF(ISNUMBER(VLOOKUP("5",A3:T105,15,FALSE())),ROUND(VLOOKUP("5",A3:T105,15,FALSE()),4),0)</f>
        <v>651366</v>
      </c>
      <c r="P104" s="12" t="n">
        <f aca="false">IF(ISNUMBER(VLOOKUP("1",A3:T105,16,FALSE())),ROUND(VLOOKUP("1",A3:T105,16,FALSE()),4),0) - (IF(ISNUMBER(VLOOKUP("2.1",A3:T105,16,FALSE())),ROUND(VLOOKUP("2.1",A3:T105,16,FALSE()),4),0) + IF(ISNUMBER(VLOOKUP("10.1.2",A3:T105,16,FALSE())),ROUND(VLOOKUP("10.1.2",A3:T105,16,FALSE()),4),0)) + IF(ISNUMBER(VLOOKUP("4",A3:T105,16,FALSE())),ROUND(VLOOKUP("4",A3:T105,16,FALSE()),4),0) - IF(ISNUMBER(VLOOKUP("5",A3:T105,16,FALSE())),ROUND(VLOOKUP("5",A3:T105,16,FALSE()),4),0)</f>
        <v>658181</v>
      </c>
      <c r="Q104" s="12" t="n">
        <f aca="false">IF(ISNUMBER(VLOOKUP("1",A3:T105,17,FALSE())),ROUND(VLOOKUP("1",A3:T105,17,FALSE()),4),0) - (IF(ISNUMBER(VLOOKUP("2.1",A3:T105,17,FALSE())),ROUND(VLOOKUP("2.1",A3:T105,17,FALSE()),4),0) + IF(ISNUMBER(VLOOKUP("10.1.2",A3:T105,17,FALSE())),ROUND(VLOOKUP("10.1.2",A3:T105,17,FALSE()),4),0)) + IF(ISNUMBER(VLOOKUP("4",A3:T105,17,FALSE())),ROUND(VLOOKUP("4",A3:T105,17,FALSE()),4),0) - IF(ISNUMBER(VLOOKUP("5",A3:T105,17,FALSE())),ROUND(VLOOKUP("5",A3:T105,17,FALSE()),4),0)</f>
        <v>474909</v>
      </c>
      <c r="R104" s="12" t="n">
        <f aca="false">IF(ISNUMBER(VLOOKUP("1",A3:T105,18,FALSE())),ROUND(VLOOKUP("1",A3:T105,18,FALSE()),4),0) - (IF(ISNUMBER(VLOOKUP("2.1",A3:T105,18,FALSE())),ROUND(VLOOKUP("2.1",A3:T105,18,FALSE()),4),0) + IF(ISNUMBER(VLOOKUP("10.1.2",A3:T105,18,FALSE())),ROUND(VLOOKUP("10.1.2",A3:T105,18,FALSE()),4),0)) + IF(ISNUMBER(VLOOKUP("4",A3:T105,18,FALSE())),ROUND(VLOOKUP("4",A3:T105,18,FALSE()),4),0) - IF(ISNUMBER(VLOOKUP("5",A3:T105,18,FALSE())),ROUND(VLOOKUP("5",A3:T105,18,FALSE()),4),0)</f>
        <v>505922</v>
      </c>
      <c r="S104" s="12" t="n">
        <f aca="false">IF(ISNUMBER(VLOOKUP("1",A3:T105,19,FALSE())),ROUND(VLOOKUP("1",A3:T105,19,FALSE()),4),0) - (IF(ISNUMBER(VLOOKUP("2.1",A3:T105,19,FALSE())),ROUND(VLOOKUP("2.1",A3:T105,19,FALSE()),4),0) + IF(ISNUMBER(VLOOKUP("10.1.2",A3:T105,19,FALSE())),ROUND(VLOOKUP("10.1.2",A3:T105,19,FALSE()),4),0)) + IF(ISNUMBER(VLOOKUP("4",A3:T105,19,FALSE())),ROUND(VLOOKUP("4",A3:T105,19,FALSE()),4),0) - IF(ISNUMBER(VLOOKUP("5",A3:T105,19,FALSE())),ROUND(VLOOKUP("5",A3:T105,19,FALSE()),4),0)</f>
        <v>541604</v>
      </c>
      <c r="T104" s="12" t="n">
        <f aca="false">IF(ISNUMBER(VLOOKUP("1",A3:T105,20,FALSE())),ROUND(VLOOKUP("1",A3:T105,20,FALSE()),4),0) - (IF(ISNUMBER(VLOOKUP("2.1",A3:T105,20,FALSE())),ROUND(VLOOKUP("2.1",A3:T105,20,FALSE()),4),0) + IF(ISNUMBER(VLOOKUP("10.1.2",A3:T105,20,FALSE())),ROUND(VLOOKUP("10.1.2",A3:T105,20,FALSE()),4),0)) + IF(ISNUMBER(VLOOKUP("4",A3:T105,20,FALSE())),ROUND(VLOOKUP("4",A3:T105,20,FALSE()),4),0) - IF(ISNUMBER(VLOOKUP("5",A3:T105,20,FALSE())),ROUND(VLOOKUP("5",A3:T105,20,FALSE()),4),0)</f>
        <v>582313.010000002</v>
      </c>
    </row>
  </sheetData>
  <mergeCells count="5">
    <mergeCell ref="B1:T1"/>
    <mergeCell ref="C57:T57"/>
    <mergeCell ref="C61:T61"/>
    <mergeCell ref="C70:T70"/>
    <mergeCell ref="C83:T83"/>
  </mergeCells>
  <conditionalFormatting sqref="B32:T32">
    <cfRule type="beginsWith" priority="2" operator="beginsWith" aboveAverage="0" equalAverage="0" bottom="0" percent="0" rank="0" text="Tak" dxfId="0">
      <formula>LEFT(B32,LEN("Tak"))="Tak"</formula>
    </cfRule>
    <cfRule type="beginsWith" priority="3" operator="beginsWith" aboveAverage="0" equalAverage="0" bottom="0" percent="0" rank="0" text="Nie" dxfId="1">
      <formula>LEFT(B32,LEN("Nie"))="Nie"</formula>
    </cfRule>
  </conditionalFormatting>
  <conditionalFormatting sqref="B68:J68 B67:J67">
    <cfRule type="beginsWith" priority="4" operator="beginsWith" aboveAverage="0" equalAverage="0" bottom="0" percent="0" rank="0" text="Tak" dxfId="2">
      <formula>LEFT(B67,LEN("Tak"))="Tak"</formula>
    </cfRule>
    <cfRule type="beginsWith" priority="5" operator="beginsWith" aboveAverage="0" equalAverage="0" bottom="0" percent="0" rank="0" text="Nie" dxfId="3">
      <formula>LEFT(B67,LEN("Nie"))="Nie"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http://www.publink.com/</dc:creator>
  <dc:description/>
  <cp:keywords>wpf wieloletnia prognoza finansowa wpf asystent</cp:keywords>
  <dc:language>pl-PL</dc:language>
  <cp:lastModifiedBy/>
  <cp:lastPrinted>2026-06-25T08:58:07Z</cp:lastPrinted>
  <dcterms:modified xsi:type="dcterms:W3CDTF">2026-06-25T14:17:39Z</dcterms:modified>
  <cp:revision>1</cp:revision>
  <dc:subject>ePublink WPF - Załącznik 1</dc:subject>
  <dc:title>Wieloletnia prognoza finansowa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